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M:\190111USB\標準的な運賃マニュアル\2025_原価計算シート\Ver02\"/>
    </mc:Choice>
  </mc:AlternateContent>
  <xr:revisionPtr revIDLastSave="0" documentId="13_ncr:1_{64BA4A17-24EE-469E-AAEC-6007E08ED94F}" xr6:coauthVersionLast="47" xr6:coauthVersionMax="47" xr10:uidLastSave="{00000000-0000-0000-0000-000000000000}"/>
  <workbookProtection workbookAlgorithmName="SHA-512" workbookHashValue="Y2PxXHGuaFszhnxLVyxQAYq9FMw+CrDuqm4jlAA3/jaSZ8y/IR+q23CVguoFy6DtRn6pZNNxFZzMLET1PLb4Lw==" workbookSaltValue="/JyNGnRd2X8cfvp77CmlnQ==" workbookSpinCount="100000" lockStructure="1"/>
  <bookViews>
    <workbookView xWindow="-120" yWindow="-120" windowWidth="29040" windowHeight="15720" activeTab="3" xr2:uid="{00000000-000D-0000-FFFF-FFFF00000000}"/>
  </bookViews>
  <sheets>
    <sheet name="条件" sheetId="28" r:id="rId1"/>
    <sheet name="車両別原価計算" sheetId="2" r:id="rId2"/>
    <sheet name="運行ルート別原価計算" sheetId="26" r:id="rId3"/>
    <sheet name="取引先別原価計算" sheetId="29"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6" i="29" l="1"/>
  <c r="N16" i="29"/>
  <c r="J16" i="29"/>
  <c r="K16" i="29"/>
  <c r="G22" i="2"/>
  <c r="G21" i="2"/>
  <c r="G20" i="2"/>
  <c r="G19" i="2"/>
  <c r="G18" i="2"/>
  <c r="G17" i="2"/>
  <c r="G16" i="2"/>
  <c r="G15" i="2"/>
  <c r="G14" i="2"/>
  <c r="G13" i="2"/>
  <c r="G12" i="2"/>
  <c r="G11" i="2"/>
  <c r="G10" i="2"/>
  <c r="G9" i="2"/>
  <c r="G8" i="2"/>
  <c r="G7" i="2"/>
  <c r="G6" i="2"/>
  <c r="G5" i="2"/>
  <c r="C13" i="2" l="1"/>
  <c r="F13" i="2" s="1"/>
  <c r="E27" i="28"/>
  <c r="C20" i="2"/>
  <c r="F20" i="2" s="1"/>
  <c r="C16" i="2"/>
  <c r="D16" i="2" s="1"/>
  <c r="C21" i="2"/>
  <c r="F21" i="2" s="1"/>
  <c r="C18" i="2"/>
  <c r="F18" i="2" s="1"/>
  <c r="C6" i="2"/>
  <c r="D6" i="2" s="1"/>
  <c r="C5" i="2"/>
  <c r="D5" i="2" s="1"/>
  <c r="C15" i="2"/>
  <c r="C14" i="2"/>
  <c r="F14" i="2" s="1"/>
  <c r="C12" i="2"/>
  <c r="F12" i="2" s="1"/>
  <c r="E4" i="2"/>
  <c r="D4" i="2"/>
  <c r="E78" i="28"/>
  <c r="E81" i="28"/>
  <c r="E82" i="28" s="1"/>
  <c r="E75" i="28"/>
  <c r="E71" i="28"/>
  <c r="E60" i="28"/>
  <c r="E65" i="28" s="1"/>
  <c r="E66" i="28" s="1"/>
  <c r="E51" i="28"/>
  <c r="C9" i="2" s="1"/>
  <c r="F9" i="2" s="1"/>
  <c r="E47" i="28"/>
  <c r="C8" i="2" s="1"/>
  <c r="F8" i="2" s="1"/>
  <c r="E44" i="28"/>
  <c r="C7" i="2" s="1"/>
  <c r="D7" i="2" s="1"/>
  <c r="E39" i="28"/>
  <c r="E34" i="28"/>
  <c r="E31" i="28"/>
  <c r="E56" i="28" s="1"/>
  <c r="E17" i="28"/>
  <c r="E18" i="28" s="1"/>
  <c r="E11" i="28"/>
  <c r="E15" i="2" l="1"/>
  <c r="D12" i="2"/>
  <c r="D8" i="2"/>
  <c r="D9" i="2"/>
  <c r="D13" i="2"/>
  <c r="D15" i="2"/>
  <c r="D18" i="2"/>
  <c r="D20" i="2"/>
  <c r="E5" i="2"/>
  <c r="E6" i="2"/>
  <c r="E8" i="2"/>
  <c r="E9" i="2"/>
  <c r="E14" i="2"/>
  <c r="F15" i="2"/>
  <c r="F16" i="2"/>
  <c r="E18" i="2"/>
  <c r="D14" i="2"/>
  <c r="E7" i="2"/>
  <c r="F17" i="2"/>
  <c r="E20" i="2"/>
  <c r="E12" i="2"/>
  <c r="E13" i="2"/>
  <c r="E16" i="2"/>
  <c r="C17" i="2"/>
  <c r="F5" i="2"/>
  <c r="F6" i="2"/>
  <c r="F7" i="2"/>
  <c r="E21" i="2"/>
  <c r="D21" i="2"/>
  <c r="E91" i="28"/>
  <c r="E28" i="28"/>
  <c r="E52" i="28"/>
  <c r="E76" i="28"/>
  <c r="E77" i="28" s="1"/>
  <c r="D17" i="2" l="1"/>
  <c r="E17" i="2"/>
  <c r="E53" i="28"/>
  <c r="E83" i="28" s="1"/>
  <c r="E87" i="28" s="1"/>
  <c r="C10" i="2"/>
  <c r="E79" i="28"/>
  <c r="E80" i="28"/>
  <c r="E86" i="28"/>
  <c r="E84" i="28"/>
  <c r="E90" i="28" l="1"/>
  <c r="H4" i="26"/>
  <c r="E92" i="28"/>
  <c r="I4" i="26"/>
  <c r="F10" i="2"/>
  <c r="F11" i="2" s="1"/>
  <c r="E10" i="2"/>
  <c r="E11" i="2" s="1"/>
  <c r="D10" i="2"/>
  <c r="D11" i="2" s="1"/>
  <c r="D22" i="2" s="1"/>
  <c r="C11" i="2"/>
  <c r="C22" i="2" s="1"/>
  <c r="F19" i="2"/>
  <c r="E19" i="2"/>
  <c r="D19" i="2"/>
  <c r="C19" i="2"/>
  <c r="F22" i="2" l="1"/>
  <c r="E22" i="2"/>
  <c r="K4" i="26"/>
  <c r="N4" i="26" s="1"/>
</calcChain>
</file>

<file path=xl/sharedStrings.xml><?xml version="1.0" encoding="utf-8"?>
<sst xmlns="http://schemas.openxmlformats.org/spreadsheetml/2006/main" count="333" uniqueCount="215">
  <si>
    <t>車両費</t>
    <rPh sb="0" eb="2">
      <t>シャリョウ</t>
    </rPh>
    <rPh sb="2" eb="3">
      <t>ヒ</t>
    </rPh>
    <phoneticPr fontId="2"/>
  </si>
  <si>
    <t>運行費</t>
    <rPh sb="0" eb="2">
      <t>ウンコウ</t>
    </rPh>
    <rPh sb="2" eb="3">
      <t>ヒ</t>
    </rPh>
    <phoneticPr fontId="2"/>
  </si>
  <si>
    <t>運送原価合計（円）</t>
    <rPh sb="0" eb="2">
      <t>ウンソウ</t>
    </rPh>
    <rPh sb="2" eb="4">
      <t>ゲンカ</t>
    </rPh>
    <rPh sb="4" eb="6">
      <t>ゴウケイ</t>
    </rPh>
    <phoneticPr fontId="2"/>
  </si>
  <si>
    <t>減価償却費（円）</t>
    <rPh sb="0" eb="2">
      <t>ゲンカ</t>
    </rPh>
    <rPh sb="2" eb="4">
      <t>ショウキャク</t>
    </rPh>
    <rPh sb="4" eb="5">
      <t>ヒ</t>
    </rPh>
    <phoneticPr fontId="2"/>
  </si>
  <si>
    <t>自動車税（円）</t>
    <rPh sb="0" eb="3">
      <t>ジドウシャ</t>
    </rPh>
    <rPh sb="3" eb="4">
      <t>ゼイ</t>
    </rPh>
    <phoneticPr fontId="2"/>
  </si>
  <si>
    <t>自動車重量税（円）</t>
    <rPh sb="0" eb="3">
      <t>ジドウシャ</t>
    </rPh>
    <rPh sb="3" eb="6">
      <t>ジュウリョウゼイ</t>
    </rPh>
    <phoneticPr fontId="2"/>
  </si>
  <si>
    <t>燃料費（円）</t>
    <rPh sb="0" eb="3">
      <t>ネンリョウヒ</t>
    </rPh>
    <phoneticPr fontId="2"/>
  </si>
  <si>
    <t>タイヤチューブ費（円）</t>
    <rPh sb="7" eb="8">
      <t>ヒ</t>
    </rPh>
    <phoneticPr fontId="2"/>
  </si>
  <si>
    <t>通行料（高速道路利用料他）（円）</t>
    <rPh sb="0" eb="3">
      <t>ツウコウリョウ</t>
    </rPh>
    <rPh sb="4" eb="6">
      <t>コウソク</t>
    </rPh>
    <rPh sb="6" eb="8">
      <t>ドウロ</t>
    </rPh>
    <rPh sb="8" eb="11">
      <t>リヨウリョウ</t>
    </rPh>
    <rPh sb="11" eb="12">
      <t>ホカ</t>
    </rPh>
    <phoneticPr fontId="2"/>
  </si>
  <si>
    <t>尿素水費（円）</t>
    <rPh sb="0" eb="2">
      <t>ニョウソ</t>
    </rPh>
    <rPh sb="2" eb="3">
      <t>スイ</t>
    </rPh>
    <rPh sb="3" eb="4">
      <t>ヒ</t>
    </rPh>
    <rPh sb="5" eb="6">
      <t>エン</t>
    </rPh>
    <phoneticPr fontId="2"/>
  </si>
  <si>
    <t>運転者人件費（円）</t>
    <rPh sb="0" eb="3">
      <t>ウンテンシャ</t>
    </rPh>
    <rPh sb="3" eb="6">
      <t>ジンケンヒ</t>
    </rPh>
    <phoneticPr fontId="2"/>
  </si>
  <si>
    <t>　車両別 原価計算データ</t>
    <rPh sb="1" eb="3">
      <t>シャリョウ</t>
    </rPh>
    <rPh sb="3" eb="4">
      <t>ベツ</t>
    </rPh>
    <rPh sb="5" eb="7">
      <t>ゲンカ</t>
    </rPh>
    <rPh sb="7" eb="9">
      <t>ケイサン</t>
    </rPh>
    <phoneticPr fontId="2"/>
  </si>
  <si>
    <t>エンジンオイル費（円）</t>
    <rPh sb="7" eb="8">
      <t>ヒ</t>
    </rPh>
    <phoneticPr fontId="2"/>
  </si>
  <si>
    <t>環境性能割、自動車取得税（円）</t>
    <rPh sb="0" eb="5">
      <t>カンキョウセイノウワリ</t>
    </rPh>
    <rPh sb="6" eb="9">
      <t>ジドウシャ</t>
    </rPh>
    <rPh sb="9" eb="11">
      <t>シュトク</t>
    </rPh>
    <rPh sb="11" eb="12">
      <t>ゼイ</t>
    </rPh>
    <phoneticPr fontId="2"/>
  </si>
  <si>
    <t>Ⅰ　1時間当たり固定費の算出</t>
    <rPh sb="3" eb="5">
      <t>ジカン</t>
    </rPh>
    <rPh sb="5" eb="6">
      <t>ア</t>
    </rPh>
    <rPh sb="8" eb="11">
      <t>コテイヒ</t>
    </rPh>
    <rPh sb="12" eb="14">
      <t>サンシュツ</t>
    </rPh>
    <phoneticPr fontId="2"/>
  </si>
  <si>
    <t>項　目</t>
    <rPh sb="0" eb="1">
      <t>コウ</t>
    </rPh>
    <rPh sb="2" eb="3">
      <t>メ</t>
    </rPh>
    <phoneticPr fontId="2"/>
  </si>
  <si>
    <t>単位</t>
    <rPh sb="0" eb="2">
      <t>タンイ</t>
    </rPh>
    <phoneticPr fontId="2"/>
  </si>
  <si>
    <t>入力上の留意点</t>
    <rPh sb="0" eb="2">
      <t>ニュウリョク</t>
    </rPh>
    <rPh sb="2" eb="3">
      <t>ジョウ</t>
    </rPh>
    <rPh sb="4" eb="7">
      <t>リュウイテン</t>
    </rPh>
    <phoneticPr fontId="2"/>
  </si>
  <si>
    <t>車両情報</t>
    <rPh sb="0" eb="2">
      <t>シャリョウ</t>
    </rPh>
    <rPh sb="2" eb="4">
      <t>ジョウホウ</t>
    </rPh>
    <phoneticPr fontId="2"/>
  </si>
  <si>
    <t>車種（車格）</t>
    <phoneticPr fontId="2"/>
  </si>
  <si>
    <t>文字</t>
    <rPh sb="0" eb="2">
      <t>モジ</t>
    </rPh>
    <phoneticPr fontId="2"/>
  </si>
  <si>
    <t>車両の車種（車格）、車型等、識別情報を入力。（小型・中型・大型・トレーラー）</t>
    <rPh sb="0" eb="2">
      <t>シャリョウ</t>
    </rPh>
    <rPh sb="3" eb="5">
      <t>シャシュ</t>
    </rPh>
    <rPh sb="6" eb="8">
      <t>シャカク</t>
    </rPh>
    <rPh sb="10" eb="12">
      <t>シャガタ</t>
    </rPh>
    <rPh sb="12" eb="13">
      <t>トウ</t>
    </rPh>
    <rPh sb="14" eb="16">
      <t>シキベツ</t>
    </rPh>
    <rPh sb="16" eb="18">
      <t>ジョウホウ</t>
    </rPh>
    <rPh sb="19" eb="21">
      <t>ニュウリョク</t>
    </rPh>
    <rPh sb="23" eb="25">
      <t>コガタ</t>
    </rPh>
    <rPh sb="26" eb="28">
      <t>チュウガタ</t>
    </rPh>
    <rPh sb="29" eb="31">
      <t>オオガタ</t>
    </rPh>
    <phoneticPr fontId="2"/>
  </si>
  <si>
    <t>車両の形状</t>
    <phoneticPr fontId="2"/>
  </si>
  <si>
    <t>車型を入力。（バン、冷凍車、冷蔵車、ダンプ、平ボディ、ユニック、タンク等</t>
    <rPh sb="0" eb="2">
      <t>シャガタ</t>
    </rPh>
    <rPh sb="3" eb="5">
      <t>ニュウリョク</t>
    </rPh>
    <rPh sb="10" eb="12">
      <t>レイトウ</t>
    </rPh>
    <rPh sb="12" eb="13">
      <t>シャ</t>
    </rPh>
    <rPh sb="14" eb="16">
      <t>レイゾウ</t>
    </rPh>
    <rPh sb="16" eb="17">
      <t>シャ</t>
    </rPh>
    <rPh sb="22" eb="23">
      <t>ヒラ</t>
    </rPh>
    <rPh sb="35" eb="36">
      <t>トウ</t>
    </rPh>
    <phoneticPr fontId="2"/>
  </si>
  <si>
    <t>単車・トレーラの区分</t>
    <rPh sb="0" eb="2">
      <t>タンシャ</t>
    </rPh>
    <rPh sb="8" eb="10">
      <t>クブン</t>
    </rPh>
    <phoneticPr fontId="2"/>
  </si>
  <si>
    <t>選択</t>
    <rPh sb="0" eb="2">
      <t>センタク</t>
    </rPh>
    <phoneticPr fontId="2"/>
  </si>
  <si>
    <t>トレーラ（牽引車及び被牽引車）の場合、必ず「トレーラ」を選択。トレーラ以外は「単車」を選択。（※トレーラを選択すると、被牽引車の欄について入力可能となります）</t>
    <rPh sb="5" eb="8">
      <t>ケンインシャ</t>
    </rPh>
    <rPh sb="8" eb="9">
      <t>オヨ</t>
    </rPh>
    <rPh sb="10" eb="11">
      <t>ヒ</t>
    </rPh>
    <rPh sb="11" eb="14">
      <t>ケンインシャ</t>
    </rPh>
    <rPh sb="16" eb="18">
      <t>バアイ</t>
    </rPh>
    <rPh sb="19" eb="20">
      <t>カナラ</t>
    </rPh>
    <rPh sb="28" eb="30">
      <t>センタク</t>
    </rPh>
    <rPh sb="35" eb="37">
      <t>イガイ</t>
    </rPh>
    <rPh sb="39" eb="41">
      <t>タンシャ</t>
    </rPh>
    <rPh sb="43" eb="45">
      <t>センタク</t>
    </rPh>
    <rPh sb="53" eb="55">
      <t>センタク</t>
    </rPh>
    <rPh sb="59" eb="60">
      <t>ヒ</t>
    </rPh>
    <rPh sb="60" eb="63">
      <t>ケンインシャ</t>
    </rPh>
    <rPh sb="64" eb="65">
      <t>ラン</t>
    </rPh>
    <rPh sb="69" eb="71">
      <t>ニュウリョク</t>
    </rPh>
    <rPh sb="71" eb="73">
      <t>カノウ</t>
    </rPh>
    <phoneticPr fontId="2"/>
  </si>
  <si>
    <t>最大積載量</t>
    <rPh sb="0" eb="2">
      <t>サイダイ</t>
    </rPh>
    <rPh sb="2" eb="5">
      <t>セキサイリョウ</t>
    </rPh>
    <phoneticPr fontId="2"/>
  </si>
  <si>
    <t>トン</t>
    <phoneticPr fontId="2"/>
  </si>
  <si>
    <t>車検証から、トン単位で入力。（例）3500kg → 3.50トン</t>
    <rPh sb="0" eb="3">
      <t>シャケンショウ</t>
    </rPh>
    <rPh sb="8" eb="10">
      <t>タンイ</t>
    </rPh>
    <rPh sb="11" eb="13">
      <t>ニュウリョク</t>
    </rPh>
    <rPh sb="15" eb="16">
      <t>レイ</t>
    </rPh>
    <phoneticPr fontId="2"/>
  </si>
  <si>
    <t>車両総重量</t>
    <rPh sb="0" eb="2">
      <t>シャリョウ</t>
    </rPh>
    <rPh sb="2" eb="5">
      <t>ソウジュウリョウ</t>
    </rPh>
    <phoneticPr fontId="2"/>
  </si>
  <si>
    <t>車検証から、トン単位で入力。（例）8250kg → 8.25トン</t>
    <rPh sb="0" eb="3">
      <t>シャケンショウ</t>
    </rPh>
    <rPh sb="8" eb="10">
      <t>タンイ</t>
    </rPh>
    <rPh sb="11" eb="13">
      <t>ニュウリョク</t>
    </rPh>
    <phoneticPr fontId="2"/>
  </si>
  <si>
    <t>車両の調達価格</t>
    <rPh sb="0" eb="2">
      <t>シャリョウ</t>
    </rPh>
    <rPh sb="3" eb="5">
      <t>チョウタツ</t>
    </rPh>
    <rPh sb="5" eb="7">
      <t>カカク</t>
    </rPh>
    <phoneticPr fontId="2"/>
  </si>
  <si>
    <t>円</t>
    <rPh sb="0" eb="1">
      <t>エン</t>
    </rPh>
    <phoneticPr fontId="2"/>
  </si>
  <si>
    <t>車両本体価格（税抜）を入力。リースの場合、全期間の総支払額を入力。（新車の調達価格を入力）</t>
    <rPh sb="0" eb="2">
      <t>シャリョウ</t>
    </rPh>
    <rPh sb="2" eb="4">
      <t>ホンタイ</t>
    </rPh>
    <rPh sb="4" eb="6">
      <t>カカク</t>
    </rPh>
    <rPh sb="7" eb="8">
      <t>ゼイ</t>
    </rPh>
    <rPh sb="8" eb="9">
      <t>ヌ</t>
    </rPh>
    <rPh sb="11" eb="13">
      <t>ニュウリョク</t>
    </rPh>
    <rPh sb="18" eb="20">
      <t>バアイ</t>
    </rPh>
    <rPh sb="21" eb="24">
      <t>ゼンキカン</t>
    </rPh>
    <rPh sb="25" eb="26">
      <t>ソウ</t>
    </rPh>
    <rPh sb="26" eb="28">
      <t>シハライ</t>
    </rPh>
    <rPh sb="28" eb="29">
      <t>ガク</t>
    </rPh>
    <rPh sb="30" eb="32">
      <t>ニュウリョク</t>
    </rPh>
    <rPh sb="34" eb="36">
      <t>シンシャ</t>
    </rPh>
    <rPh sb="37" eb="39">
      <t>チョウタツ</t>
    </rPh>
    <rPh sb="39" eb="41">
      <t>カカク</t>
    </rPh>
    <rPh sb="42" eb="44">
      <t>ニュウリョク</t>
    </rPh>
    <phoneticPr fontId="2"/>
  </si>
  <si>
    <t>付属備品等の費用</t>
    <rPh sb="0" eb="2">
      <t>フゾク</t>
    </rPh>
    <rPh sb="2" eb="4">
      <t>ビヒン</t>
    </rPh>
    <rPh sb="4" eb="5">
      <t>トウ</t>
    </rPh>
    <rPh sb="6" eb="8">
      <t>ヒヨウ</t>
    </rPh>
    <phoneticPr fontId="2"/>
  </si>
  <si>
    <t>オプション費、ドラレコ、デジタコ、ETC等の設備費用（税抜）を入力。経理上一括償却済みでも、入力。</t>
    <rPh sb="5" eb="6">
      <t>ヒ</t>
    </rPh>
    <rPh sb="20" eb="21">
      <t>トウ</t>
    </rPh>
    <rPh sb="22" eb="24">
      <t>セツビ</t>
    </rPh>
    <rPh sb="24" eb="26">
      <t>ヒヨウ</t>
    </rPh>
    <rPh sb="27" eb="28">
      <t>ゼイ</t>
    </rPh>
    <rPh sb="28" eb="29">
      <t>ヌ</t>
    </rPh>
    <rPh sb="31" eb="33">
      <t>ニュウリョク</t>
    </rPh>
    <rPh sb="34" eb="37">
      <t>ケイリジョウ</t>
    </rPh>
    <rPh sb="37" eb="39">
      <t>イッカツ</t>
    </rPh>
    <rPh sb="39" eb="41">
      <t>ショウキャク</t>
    </rPh>
    <rPh sb="41" eb="42">
      <t>ス</t>
    </rPh>
    <rPh sb="46" eb="48">
      <t>ニュウリョク</t>
    </rPh>
    <phoneticPr fontId="2"/>
  </si>
  <si>
    <t>車両償却年数</t>
    <rPh sb="0" eb="2">
      <t>シャリョウ</t>
    </rPh>
    <rPh sb="2" eb="4">
      <t>ショウキャク</t>
    </rPh>
    <rPh sb="4" eb="6">
      <t>ネンスウ</t>
    </rPh>
    <phoneticPr fontId="2"/>
  </si>
  <si>
    <t>年</t>
    <rPh sb="0" eb="1">
      <t>ネン</t>
    </rPh>
    <phoneticPr fontId="2"/>
  </si>
  <si>
    <t>車両償却年数を設定。</t>
    <rPh sb="0" eb="2">
      <t>シャリョウ</t>
    </rPh>
    <rPh sb="2" eb="4">
      <t>ショウキャク</t>
    </rPh>
    <rPh sb="4" eb="6">
      <t>ネンスウ</t>
    </rPh>
    <rPh sb="7" eb="9">
      <t>セッテイ</t>
    </rPh>
    <phoneticPr fontId="2"/>
  </si>
  <si>
    <t>年当たり車両費</t>
    <rPh sb="1" eb="2">
      <t>ア</t>
    </rPh>
    <rPh sb="4" eb="6">
      <t>シャリョウ</t>
    </rPh>
    <rPh sb="6" eb="7">
      <t>ヒ</t>
    </rPh>
    <phoneticPr fontId="2"/>
  </si>
  <si>
    <t>【入力不要】年間の車両費が算出されます</t>
    <rPh sb="1" eb="3">
      <t>ニュウリョク</t>
    </rPh>
    <rPh sb="3" eb="5">
      <t>フヨウ</t>
    </rPh>
    <rPh sb="9" eb="11">
      <t>シャリョウ</t>
    </rPh>
    <rPh sb="11" eb="12">
      <t>ヒ</t>
    </rPh>
    <rPh sb="13" eb="15">
      <t>サンシュツ</t>
    </rPh>
    <phoneticPr fontId="2"/>
  </si>
  <si>
    <t>運転者人件費</t>
    <rPh sb="0" eb="3">
      <t>ウンテンシャ</t>
    </rPh>
    <rPh sb="3" eb="6">
      <t>ジンケンヒ</t>
    </rPh>
    <phoneticPr fontId="2"/>
  </si>
  <si>
    <t>時給（所定内）</t>
    <rPh sb="0" eb="2">
      <t>ジキュウ</t>
    </rPh>
    <rPh sb="3" eb="6">
      <t>ショテイナイ</t>
    </rPh>
    <phoneticPr fontId="2"/>
  </si>
  <si>
    <t>基本給、手当及び賞与を基礎とした１時間当たりの賃金（時給単価）を入力。（時間外賃金を含めない）</t>
    <rPh sb="0" eb="3">
      <t>キホンキュウ</t>
    </rPh>
    <rPh sb="4" eb="6">
      <t>テアテ</t>
    </rPh>
    <rPh sb="6" eb="7">
      <t>オヨ</t>
    </rPh>
    <rPh sb="8" eb="10">
      <t>ショウヨ</t>
    </rPh>
    <rPh sb="11" eb="13">
      <t>キソ</t>
    </rPh>
    <rPh sb="17" eb="19">
      <t>ジカン</t>
    </rPh>
    <rPh sb="19" eb="20">
      <t>ア</t>
    </rPh>
    <rPh sb="23" eb="25">
      <t>チンギン</t>
    </rPh>
    <rPh sb="26" eb="28">
      <t>ジキュウ</t>
    </rPh>
    <rPh sb="28" eb="30">
      <t>タンカ</t>
    </rPh>
    <rPh sb="32" eb="34">
      <t>ニュウリョク</t>
    </rPh>
    <rPh sb="36" eb="39">
      <t>ジカンガイ</t>
    </rPh>
    <rPh sb="39" eb="41">
      <t>チンギン</t>
    </rPh>
    <rPh sb="42" eb="43">
      <t>フク</t>
    </rPh>
    <phoneticPr fontId="2"/>
  </si>
  <si>
    <t>１日当たり基本労働時間（基準内）</t>
    <rPh sb="1" eb="2">
      <t>ニチ</t>
    </rPh>
    <rPh sb="2" eb="3">
      <t>ア</t>
    </rPh>
    <rPh sb="5" eb="7">
      <t>キホン</t>
    </rPh>
    <rPh sb="7" eb="9">
      <t>ロウドウ</t>
    </rPh>
    <rPh sb="9" eb="11">
      <t>ジカン</t>
    </rPh>
    <phoneticPr fontId="2"/>
  </si>
  <si>
    <t>時間</t>
    <rPh sb="0" eb="2">
      <t>ジカン</t>
    </rPh>
    <phoneticPr fontId="2"/>
  </si>
  <si>
    <t>働き方改革を実現できる1日当たり平均基本労働時間を入力。【入力例】週休3日→10時間、週休2日→8時間、週休1.5日→7.273時間、週休1日→6.667時間</t>
    <rPh sb="12" eb="13">
      <t>ニチ</t>
    </rPh>
    <rPh sb="13" eb="14">
      <t>ア</t>
    </rPh>
    <rPh sb="16" eb="18">
      <t>ヘイキン</t>
    </rPh>
    <rPh sb="18" eb="20">
      <t>キホン</t>
    </rPh>
    <rPh sb="20" eb="22">
      <t>ロウドウ</t>
    </rPh>
    <rPh sb="22" eb="24">
      <t>ジカン</t>
    </rPh>
    <rPh sb="25" eb="27">
      <t>ニュウリョク</t>
    </rPh>
    <rPh sb="29" eb="31">
      <t>ニュウリョク</t>
    </rPh>
    <rPh sb="31" eb="32">
      <t>レイ</t>
    </rPh>
    <rPh sb="33" eb="35">
      <t>シュウキュウ</t>
    </rPh>
    <rPh sb="36" eb="37">
      <t>ニチ</t>
    </rPh>
    <rPh sb="40" eb="42">
      <t>ジカン</t>
    </rPh>
    <rPh sb="43" eb="45">
      <t>シュウキュウ</t>
    </rPh>
    <rPh sb="46" eb="47">
      <t>ニチ</t>
    </rPh>
    <rPh sb="49" eb="51">
      <t>ジカン</t>
    </rPh>
    <rPh sb="52" eb="54">
      <t>シュウキュウ</t>
    </rPh>
    <rPh sb="57" eb="58">
      <t>ニチ</t>
    </rPh>
    <rPh sb="64" eb="66">
      <t>ジカン</t>
    </rPh>
    <rPh sb="67" eb="69">
      <t>シュウキュウ</t>
    </rPh>
    <rPh sb="70" eb="71">
      <t>ニチ</t>
    </rPh>
    <rPh sb="77" eb="79">
      <t>ジカン</t>
    </rPh>
    <phoneticPr fontId="2"/>
  </si>
  <si>
    <t>年間労働日数</t>
    <rPh sb="0" eb="2">
      <t>ネンカン</t>
    </rPh>
    <rPh sb="2" eb="4">
      <t>ロウドウ</t>
    </rPh>
    <rPh sb="4" eb="6">
      <t>ニッスウ</t>
    </rPh>
    <phoneticPr fontId="2"/>
  </si>
  <si>
    <t>日</t>
    <rPh sb="0" eb="1">
      <t>ニチ</t>
    </rPh>
    <phoneticPr fontId="2"/>
  </si>
  <si>
    <t>働き方改革を実現できる年間労働日数を入力。（有給休暇取得日、平均的な欠勤日数、特別休暇等を除外）休日を増加させる場合、当該日数を除外。</t>
    <rPh sb="0" eb="1">
      <t>ハタラ</t>
    </rPh>
    <rPh sb="2" eb="3">
      <t>カタ</t>
    </rPh>
    <rPh sb="3" eb="5">
      <t>カイカク</t>
    </rPh>
    <rPh sb="6" eb="8">
      <t>ジツゲン</t>
    </rPh>
    <rPh sb="11" eb="13">
      <t>ネンカン</t>
    </rPh>
    <rPh sb="13" eb="15">
      <t>ロウドウ</t>
    </rPh>
    <rPh sb="15" eb="17">
      <t>ニッスウ</t>
    </rPh>
    <rPh sb="18" eb="20">
      <t>ニュウリョク</t>
    </rPh>
    <rPh sb="22" eb="24">
      <t>ユウキュウ</t>
    </rPh>
    <rPh sb="24" eb="26">
      <t>キュウカ</t>
    </rPh>
    <rPh sb="26" eb="28">
      <t>シュトク</t>
    </rPh>
    <rPh sb="28" eb="29">
      <t>ビ</t>
    </rPh>
    <rPh sb="30" eb="32">
      <t>ヘイキン</t>
    </rPh>
    <rPh sb="32" eb="33">
      <t>テキ</t>
    </rPh>
    <rPh sb="34" eb="36">
      <t>ケッキン</t>
    </rPh>
    <rPh sb="36" eb="37">
      <t>ビ</t>
    </rPh>
    <rPh sb="37" eb="38">
      <t>スウ</t>
    </rPh>
    <rPh sb="39" eb="41">
      <t>トクベツ</t>
    </rPh>
    <rPh sb="41" eb="43">
      <t>キュウカ</t>
    </rPh>
    <rPh sb="43" eb="44">
      <t>トウ</t>
    </rPh>
    <rPh sb="45" eb="47">
      <t>ジョガイ</t>
    </rPh>
    <rPh sb="48" eb="50">
      <t>キュウジツ</t>
    </rPh>
    <rPh sb="51" eb="53">
      <t>ゾウカ</t>
    </rPh>
    <rPh sb="56" eb="58">
      <t>バアイ</t>
    </rPh>
    <rPh sb="59" eb="61">
      <t>トウガイ</t>
    </rPh>
    <rPh sb="61" eb="63">
      <t>ニッスウ</t>
    </rPh>
    <rPh sb="64" eb="66">
      <t>ジョガイ</t>
    </rPh>
    <phoneticPr fontId="2"/>
  </si>
  <si>
    <t>福利費率（給与等に対する割合）</t>
    <rPh sb="0" eb="2">
      <t>フクリ</t>
    </rPh>
    <rPh sb="2" eb="3">
      <t>ヒ</t>
    </rPh>
    <rPh sb="3" eb="4">
      <t>リツ</t>
    </rPh>
    <rPh sb="5" eb="7">
      <t>キュウヨ</t>
    </rPh>
    <rPh sb="7" eb="8">
      <t>トウ</t>
    </rPh>
    <rPh sb="9" eb="10">
      <t>タイ</t>
    </rPh>
    <rPh sb="12" eb="14">
      <t>ワリアイ</t>
    </rPh>
    <phoneticPr fontId="2"/>
  </si>
  <si>
    <t>％</t>
    <phoneticPr fontId="2"/>
  </si>
  <si>
    <t>給与等に対する法定福利費及び福利厚生費の比率を入力。</t>
    <rPh sb="0" eb="2">
      <t>キュウヨ</t>
    </rPh>
    <rPh sb="2" eb="3">
      <t>トウ</t>
    </rPh>
    <rPh sb="4" eb="5">
      <t>タイ</t>
    </rPh>
    <rPh sb="7" eb="9">
      <t>ホウテイ</t>
    </rPh>
    <rPh sb="9" eb="11">
      <t>フクリ</t>
    </rPh>
    <rPh sb="11" eb="12">
      <t>ヒ</t>
    </rPh>
    <rPh sb="12" eb="13">
      <t>オヨ</t>
    </rPh>
    <rPh sb="14" eb="16">
      <t>フクリ</t>
    </rPh>
    <rPh sb="16" eb="18">
      <t>コウセイ</t>
    </rPh>
    <rPh sb="20" eb="22">
      <t>ヒリツ</t>
    </rPh>
    <rPh sb="23" eb="25">
      <t>ニュウリョク</t>
    </rPh>
    <phoneticPr fontId="2"/>
  </si>
  <si>
    <t>時間外労働賃金　平均割増率</t>
    <rPh sb="0" eb="2">
      <t>ジカン</t>
    </rPh>
    <rPh sb="2" eb="3">
      <t>ガイ</t>
    </rPh>
    <rPh sb="3" eb="5">
      <t>ロウドウ</t>
    </rPh>
    <rPh sb="5" eb="7">
      <t>チンギン</t>
    </rPh>
    <rPh sb="8" eb="10">
      <t>ヘイキン</t>
    </rPh>
    <rPh sb="10" eb="12">
      <t>ワリマシ</t>
    </rPh>
    <rPh sb="12" eb="13">
      <t>リツ</t>
    </rPh>
    <phoneticPr fontId="2"/>
  </si>
  <si>
    <t>倍</t>
    <rPh sb="0" eb="1">
      <t>バイ</t>
    </rPh>
    <phoneticPr fontId="2"/>
  </si>
  <si>
    <t>時間外労働賃金の加重平均倍率を入力。 参考：1.25倍（年間720時間）</t>
    <rPh sb="0" eb="3">
      <t>ジカンガイ</t>
    </rPh>
    <rPh sb="3" eb="5">
      <t>ロウドウ</t>
    </rPh>
    <rPh sb="5" eb="7">
      <t>チンギン</t>
    </rPh>
    <rPh sb="8" eb="10">
      <t>カジュウ</t>
    </rPh>
    <rPh sb="10" eb="12">
      <t>ヘイキン</t>
    </rPh>
    <rPh sb="12" eb="14">
      <t>バイリツ</t>
    </rPh>
    <rPh sb="15" eb="17">
      <t>ニュウリョク</t>
    </rPh>
    <phoneticPr fontId="2"/>
  </si>
  <si>
    <t>年間労働時間（基準内のみ）</t>
    <rPh sb="0" eb="2">
      <t>ネンカン</t>
    </rPh>
    <rPh sb="2" eb="4">
      <t>ロウドウ</t>
    </rPh>
    <rPh sb="4" eb="6">
      <t>ジカン</t>
    </rPh>
    <rPh sb="7" eb="10">
      <t>キジュンナイ</t>
    </rPh>
    <phoneticPr fontId="2"/>
  </si>
  <si>
    <t>【入力不要】1日当たり基本労働時間×年間平均労働日数</t>
    <rPh sb="7" eb="8">
      <t>ニチ</t>
    </rPh>
    <rPh sb="8" eb="9">
      <t>ア</t>
    </rPh>
    <rPh sb="11" eb="13">
      <t>キホン</t>
    </rPh>
    <rPh sb="13" eb="15">
      <t>ロウドウ</t>
    </rPh>
    <rPh sb="15" eb="17">
      <t>ジカン</t>
    </rPh>
    <rPh sb="18" eb="20">
      <t>ネンカン</t>
    </rPh>
    <rPh sb="20" eb="22">
      <t>ヘイキン</t>
    </rPh>
    <rPh sb="22" eb="24">
      <t>ロウドウ</t>
    </rPh>
    <rPh sb="24" eb="26">
      <t>ニッスウ</t>
    </rPh>
    <phoneticPr fontId="2"/>
  </si>
  <si>
    <r>
      <t xml:space="preserve">基本労働時間に対応する運転者人件費
</t>
    </r>
    <r>
      <rPr>
        <sz val="8"/>
        <color rgb="FFFF0000"/>
        <rFont val="ＭＳ Ｐゴシック"/>
        <family val="3"/>
        <charset val="128"/>
      </rPr>
      <t>※所定外労働時間を含まない</t>
    </r>
    <rPh sb="0" eb="2">
      <t>キホン</t>
    </rPh>
    <rPh sb="2" eb="4">
      <t>ロウドウ</t>
    </rPh>
    <rPh sb="4" eb="6">
      <t>ジカン</t>
    </rPh>
    <rPh sb="7" eb="9">
      <t>タイオウ</t>
    </rPh>
    <rPh sb="11" eb="14">
      <t>ウンテンシャ</t>
    </rPh>
    <rPh sb="14" eb="17">
      <t>ジンケンヒ</t>
    </rPh>
    <rPh sb="24" eb="26">
      <t>ジカン</t>
    </rPh>
    <rPh sb="27" eb="28">
      <t>フク</t>
    </rPh>
    <phoneticPr fontId="2"/>
  </si>
  <si>
    <t>【入力不要】「年間基本労働時間」に相当する運転者人件費
計算式：時給×（1+福利費率）×年間労働時間</t>
    <rPh sb="7" eb="9">
      <t>ネンカン</t>
    </rPh>
    <rPh sb="9" eb="11">
      <t>キホン</t>
    </rPh>
    <rPh sb="11" eb="13">
      <t>ロウドウ</t>
    </rPh>
    <rPh sb="13" eb="15">
      <t>ジカン</t>
    </rPh>
    <rPh sb="17" eb="19">
      <t>ソウトウ</t>
    </rPh>
    <rPh sb="21" eb="24">
      <t>ウンテンシャ</t>
    </rPh>
    <rPh sb="24" eb="27">
      <t>ジンケンヒ</t>
    </rPh>
    <rPh sb="28" eb="31">
      <t>ケイサンシキ</t>
    </rPh>
    <rPh sb="32" eb="34">
      <t>ジキュウ</t>
    </rPh>
    <rPh sb="38" eb="40">
      <t>フクリ</t>
    </rPh>
    <rPh sb="40" eb="41">
      <t>ヒ</t>
    </rPh>
    <rPh sb="41" eb="42">
      <t>リツ</t>
    </rPh>
    <rPh sb="44" eb="46">
      <t>ネンカン</t>
    </rPh>
    <rPh sb="46" eb="48">
      <t>ロウドウ</t>
    </rPh>
    <rPh sb="48" eb="50">
      <t>ジカン</t>
    </rPh>
    <phoneticPr fontId="2"/>
  </si>
  <si>
    <t>税金</t>
    <rPh sb="0" eb="2">
      <t>ゼイキン</t>
    </rPh>
    <phoneticPr fontId="2"/>
  </si>
  <si>
    <t>環境性能割・自動車取得税</t>
    <rPh sb="0" eb="2">
      <t>カンキョウ</t>
    </rPh>
    <rPh sb="2" eb="4">
      <t>セイノウ</t>
    </rPh>
    <rPh sb="4" eb="5">
      <t>ワリ</t>
    </rPh>
    <rPh sb="6" eb="9">
      <t>ジドウシャ</t>
    </rPh>
    <rPh sb="9" eb="11">
      <t>シュトク</t>
    </rPh>
    <rPh sb="11" eb="12">
      <t>ゼイ</t>
    </rPh>
    <phoneticPr fontId="2"/>
  </si>
  <si>
    <t>実際の支払総額を入力。新車調達を前提とする場合、当該車両の環境性能割を入力。</t>
    <rPh sb="0" eb="2">
      <t>ジッサイ</t>
    </rPh>
    <rPh sb="3" eb="5">
      <t>シハラ</t>
    </rPh>
    <rPh sb="5" eb="7">
      <t>ソウガク</t>
    </rPh>
    <rPh sb="8" eb="10">
      <t>ニュウリョク</t>
    </rPh>
    <rPh sb="11" eb="13">
      <t>シンシャ</t>
    </rPh>
    <rPh sb="13" eb="15">
      <t>チョウタツ</t>
    </rPh>
    <rPh sb="16" eb="18">
      <t>ゼンテイ</t>
    </rPh>
    <rPh sb="21" eb="23">
      <t>バアイ</t>
    </rPh>
    <rPh sb="29" eb="31">
      <t>カンキョウ</t>
    </rPh>
    <rPh sb="31" eb="33">
      <t>セイノウ</t>
    </rPh>
    <rPh sb="33" eb="34">
      <t>ワリ</t>
    </rPh>
    <rPh sb="35" eb="37">
      <t>ニュウリョク</t>
    </rPh>
    <phoneticPr fontId="2"/>
  </si>
  <si>
    <t>自動車税</t>
    <rPh sb="0" eb="3">
      <t>ジドウシャ</t>
    </rPh>
    <rPh sb="3" eb="4">
      <t>ゼイ</t>
    </rPh>
    <phoneticPr fontId="2"/>
  </si>
  <si>
    <t>年間の自動車税を入力。新車調達を前提とする場合、当該車両の自動車税を入力。</t>
    <rPh sb="3" eb="6">
      <t>ジドウシャ</t>
    </rPh>
    <rPh sb="6" eb="7">
      <t>ゼイ</t>
    </rPh>
    <rPh sb="29" eb="32">
      <t>ジドウシャ</t>
    </rPh>
    <rPh sb="32" eb="33">
      <t>ゼイ</t>
    </rPh>
    <phoneticPr fontId="2"/>
  </si>
  <si>
    <t>自動車重量税</t>
    <rPh sb="0" eb="3">
      <t>ジドウシャ</t>
    </rPh>
    <rPh sb="3" eb="6">
      <t>ジュウリョウゼイ</t>
    </rPh>
    <phoneticPr fontId="2"/>
  </si>
  <si>
    <t>年間の自動車重量税を入力。（車両総重量８ｔ未満の初回の車検期間は2年間であるため、1年分を算出）新車調達を前提とする場合、当該車両の自動車重量税を入力。</t>
    <rPh sb="3" eb="6">
      <t>ジドウシャ</t>
    </rPh>
    <rPh sb="6" eb="9">
      <t>ジュウリョウゼイ</t>
    </rPh>
    <rPh sb="10" eb="12">
      <t>ニュウリョク</t>
    </rPh>
    <rPh sb="24" eb="26">
      <t>ショカイ</t>
    </rPh>
    <rPh sb="42" eb="44">
      <t>ネンブン</t>
    </rPh>
    <rPh sb="69" eb="72">
      <t>ジュウリョウゼイ</t>
    </rPh>
    <phoneticPr fontId="2"/>
  </si>
  <si>
    <t>保険</t>
    <rPh sb="0" eb="2">
      <t>ホケン</t>
    </rPh>
    <phoneticPr fontId="2"/>
  </si>
  <si>
    <t>自賠責保険料</t>
    <rPh sb="0" eb="3">
      <t>ジバイセキ</t>
    </rPh>
    <rPh sb="3" eb="6">
      <t>ホケンリョウ</t>
    </rPh>
    <phoneticPr fontId="2"/>
  </si>
  <si>
    <t>年間の自賠責保険料を入力。（車両総重量８ｔ未満の初回の車検期間は2年間であるため、1年分を算出）新車調達を前提とする場合、当該車両の自賠責保険料を入力。</t>
    <rPh sb="3" eb="6">
      <t>ジバイセキ</t>
    </rPh>
    <rPh sb="6" eb="9">
      <t>ホケンリョウ</t>
    </rPh>
    <rPh sb="10" eb="12">
      <t>ニュウリョク</t>
    </rPh>
    <rPh sb="24" eb="26">
      <t>ショカイ</t>
    </rPh>
    <rPh sb="27" eb="29">
      <t>シャケン</t>
    </rPh>
    <rPh sb="29" eb="31">
      <t>キカン</t>
    </rPh>
    <rPh sb="33" eb="34">
      <t>ネン</t>
    </rPh>
    <rPh sb="34" eb="35">
      <t>カン</t>
    </rPh>
    <rPh sb="42" eb="44">
      <t>ネンブン</t>
    </rPh>
    <rPh sb="45" eb="47">
      <t>サンシュツ</t>
    </rPh>
    <rPh sb="63" eb="65">
      <t>シャリョウ</t>
    </rPh>
    <rPh sb="66" eb="69">
      <t>ジバイセキ</t>
    </rPh>
    <rPh sb="69" eb="71">
      <t>ホケン</t>
    </rPh>
    <rPh sb="71" eb="72">
      <t>リョウ</t>
    </rPh>
    <phoneticPr fontId="2"/>
  </si>
  <si>
    <t>任意保険料</t>
    <rPh sb="0" eb="2">
      <t>ニンイ</t>
    </rPh>
    <rPh sb="2" eb="4">
      <t>ホケン</t>
    </rPh>
    <rPh sb="4" eb="5">
      <t>リョウ</t>
    </rPh>
    <phoneticPr fontId="2"/>
  </si>
  <si>
    <t>年間、１台当たりの任意保険料を入力。</t>
    <rPh sb="4" eb="5">
      <t>ダイ</t>
    </rPh>
    <rPh sb="5" eb="6">
      <t>ア</t>
    </rPh>
    <rPh sb="9" eb="11">
      <t>ニンイ</t>
    </rPh>
    <rPh sb="11" eb="13">
      <t>ホケン</t>
    </rPh>
    <rPh sb="13" eb="14">
      <t>リョウ</t>
    </rPh>
    <rPh sb="15" eb="17">
      <t>ニュウリョク</t>
    </rPh>
    <phoneticPr fontId="2"/>
  </si>
  <si>
    <t>その他</t>
    <rPh sb="2" eb="3">
      <t>タ</t>
    </rPh>
    <phoneticPr fontId="2"/>
  </si>
  <si>
    <t>荷役関連の消耗品費</t>
    <phoneticPr fontId="2"/>
  </si>
  <si>
    <t>年間の荷役関連消耗品費を算出し、入力</t>
    <rPh sb="0" eb="2">
      <t>ネンカン</t>
    </rPh>
    <rPh sb="3" eb="11">
      <t>ニヤクカンレンショウモウヒンヒ</t>
    </rPh>
    <rPh sb="12" eb="14">
      <t>サンシュツ</t>
    </rPh>
    <rPh sb="16" eb="18">
      <t>ニュウリョク</t>
    </rPh>
    <phoneticPr fontId="2"/>
  </si>
  <si>
    <t>借入金利息額</t>
    <rPh sb="5" eb="6">
      <t>ガク</t>
    </rPh>
    <phoneticPr fontId="2"/>
  </si>
  <si>
    <t>年間借入利息額（車両調達借入利息、運転資金・その他設備資金の利息額）÷台数＝入力する数値（概算）</t>
    <rPh sb="0" eb="2">
      <t>ネンカン</t>
    </rPh>
    <rPh sb="2" eb="4">
      <t>カリイレ</t>
    </rPh>
    <rPh sb="4" eb="7">
      <t>リソクガク</t>
    </rPh>
    <rPh sb="8" eb="10">
      <t>シャリョウ</t>
    </rPh>
    <rPh sb="10" eb="12">
      <t>チョウタツ</t>
    </rPh>
    <rPh sb="12" eb="14">
      <t>カリイレ</t>
    </rPh>
    <rPh sb="14" eb="16">
      <t>リソク</t>
    </rPh>
    <rPh sb="17" eb="21">
      <t>ウンテンシキン</t>
    </rPh>
    <rPh sb="24" eb="25">
      <t>タ</t>
    </rPh>
    <rPh sb="25" eb="29">
      <t>セツビシキン</t>
    </rPh>
    <rPh sb="30" eb="32">
      <t>リソク</t>
    </rPh>
    <rPh sb="32" eb="33">
      <t>ガク</t>
    </rPh>
    <rPh sb="35" eb="37">
      <t>ダイスウ</t>
    </rPh>
    <rPh sb="38" eb="40">
      <t>ニュウリョク</t>
    </rPh>
    <rPh sb="42" eb="44">
      <t>スウチ</t>
    </rPh>
    <rPh sb="45" eb="47">
      <t>ガイサン</t>
    </rPh>
    <phoneticPr fontId="2"/>
  </si>
  <si>
    <t>間接費比率</t>
    <rPh sb="0" eb="2">
      <t>カンセツ</t>
    </rPh>
    <rPh sb="2" eb="3">
      <t>ヒ</t>
    </rPh>
    <rPh sb="3" eb="5">
      <t>ヒリツ</t>
    </rPh>
    <phoneticPr fontId="2"/>
  </si>
  <si>
    <t>年間ベースの固定費合計に対する比率を入力。</t>
    <phoneticPr fontId="2"/>
  </si>
  <si>
    <t>固定費に対応する間接費（年額）</t>
    <rPh sb="0" eb="3">
      <t>コテイヒ</t>
    </rPh>
    <rPh sb="4" eb="6">
      <t>タイオウ</t>
    </rPh>
    <rPh sb="8" eb="10">
      <t>カンセツ</t>
    </rPh>
    <rPh sb="10" eb="11">
      <t>ヒ</t>
    </rPh>
    <rPh sb="12" eb="14">
      <t>ネンガク</t>
    </rPh>
    <phoneticPr fontId="2"/>
  </si>
  <si>
    <t>【入力不要】上記比率より年間費用額を算出</t>
    <rPh sb="12" eb="14">
      <t>ネンカン</t>
    </rPh>
    <rPh sb="14" eb="16">
      <t>ヒヨウ</t>
    </rPh>
    <rPh sb="16" eb="17">
      <t>ガク</t>
    </rPh>
    <rPh sb="18" eb="20">
      <t>サンシュツ</t>
    </rPh>
    <phoneticPr fontId="2"/>
  </si>
  <si>
    <t>年間　固定費（時間外労働時間を含まない）</t>
    <rPh sb="0" eb="2">
      <t>ネンカン</t>
    </rPh>
    <rPh sb="3" eb="6">
      <t>コテイヒ</t>
    </rPh>
    <rPh sb="7" eb="10">
      <t>ジカンガイ</t>
    </rPh>
    <rPh sb="10" eb="12">
      <t>ロウドウ</t>
    </rPh>
    <rPh sb="12" eb="14">
      <t>ジカン</t>
    </rPh>
    <rPh sb="15" eb="16">
      <t>フク</t>
    </rPh>
    <phoneticPr fontId="2"/>
  </si>
  <si>
    <t>【入力不要】合計額を算出</t>
    <rPh sb="6" eb="8">
      <t>ゴウケイ</t>
    </rPh>
    <rPh sb="8" eb="9">
      <t>ガク</t>
    </rPh>
    <rPh sb="10" eb="12">
      <t>サンシュツ</t>
    </rPh>
    <phoneticPr fontId="2"/>
  </si>
  <si>
    <t>Ⅱ　1km当たり変動費の算出</t>
    <rPh sb="5" eb="6">
      <t>ア</t>
    </rPh>
    <rPh sb="8" eb="10">
      <t>ヘンドウ</t>
    </rPh>
    <rPh sb="10" eb="11">
      <t>ヒ</t>
    </rPh>
    <rPh sb="12" eb="14">
      <t>サンシュツ</t>
    </rPh>
    <phoneticPr fontId="2"/>
  </si>
  <si>
    <t>燃料費</t>
    <rPh sb="0" eb="3">
      <t>ネンリョウヒ</t>
    </rPh>
    <phoneticPr fontId="2"/>
  </si>
  <si>
    <t>燃費</t>
    <rPh sb="0" eb="2">
      <t>ネンピ</t>
    </rPh>
    <phoneticPr fontId="2"/>
  </si>
  <si>
    <t>km/L</t>
    <phoneticPr fontId="2"/>
  </si>
  <si>
    <t>車両別の平均燃費を入力。</t>
  </si>
  <si>
    <t>１リットル当たり燃料単価</t>
    <rPh sb="5" eb="6">
      <t>ア</t>
    </rPh>
    <rPh sb="8" eb="10">
      <t>ネンリョウ</t>
    </rPh>
    <rPh sb="10" eb="12">
      <t>タンカ</t>
    </rPh>
    <phoneticPr fontId="2"/>
  </si>
  <si>
    <t>運賃の基礎となる燃料単価を入力。</t>
    <rPh sb="0" eb="2">
      <t>ウンチン</t>
    </rPh>
    <rPh sb="3" eb="5">
      <t>キソ</t>
    </rPh>
    <rPh sb="8" eb="10">
      <t>ネンリョウ</t>
    </rPh>
    <rPh sb="10" eb="12">
      <t>タンカ</t>
    </rPh>
    <rPh sb="13" eb="15">
      <t>ニュウリョク</t>
    </rPh>
    <phoneticPr fontId="2"/>
  </si>
  <si>
    <t>1km当たり燃料費</t>
    <rPh sb="3" eb="4">
      <t>ア</t>
    </rPh>
    <rPh sb="6" eb="9">
      <t>ネンリョウヒ</t>
    </rPh>
    <phoneticPr fontId="2"/>
  </si>
  <si>
    <t>【入力不要】1km当たり燃料費を算出</t>
    <rPh sb="9" eb="10">
      <t>ア</t>
    </rPh>
    <rPh sb="12" eb="15">
      <t>ネンリョウヒ</t>
    </rPh>
    <phoneticPr fontId="2"/>
  </si>
  <si>
    <t>オイル費</t>
    <phoneticPr fontId="2"/>
  </si>
  <si>
    <t>オイル単価</t>
    <rPh sb="3" eb="5">
      <t>タンカ</t>
    </rPh>
    <phoneticPr fontId="2"/>
  </si>
  <si>
    <t>オイルの１リットル当たりの単価を入力。</t>
    <rPh sb="9" eb="10">
      <t>ア</t>
    </rPh>
    <rPh sb="13" eb="15">
      <t>タンカ</t>
    </rPh>
    <rPh sb="16" eb="18">
      <t>ニュウリョク</t>
    </rPh>
    <phoneticPr fontId="2"/>
  </si>
  <si>
    <t>１回当たりの交換オイル量</t>
    <rPh sb="1" eb="2">
      <t>カイ</t>
    </rPh>
    <rPh sb="2" eb="3">
      <t>ア</t>
    </rPh>
    <rPh sb="6" eb="8">
      <t>コウカン</t>
    </rPh>
    <rPh sb="11" eb="12">
      <t>リョウ</t>
    </rPh>
    <phoneticPr fontId="2"/>
  </si>
  <si>
    <t>リットル</t>
    <phoneticPr fontId="2"/>
  </si>
  <si>
    <t>オイル交換に必要なオイル量を入力。（エンジンの諸元を参考とする）</t>
    <rPh sb="3" eb="5">
      <t>コウカン</t>
    </rPh>
    <rPh sb="6" eb="8">
      <t>ヒツヨウ</t>
    </rPh>
    <rPh sb="12" eb="13">
      <t>リョウ</t>
    </rPh>
    <rPh sb="14" eb="16">
      <t>ニュウリョク</t>
    </rPh>
    <rPh sb="23" eb="25">
      <t>ショゲン</t>
    </rPh>
    <rPh sb="26" eb="28">
      <t>サンコウ</t>
    </rPh>
    <phoneticPr fontId="2"/>
  </si>
  <si>
    <t>オイル交換１回分の工賃</t>
    <rPh sb="3" eb="5">
      <t>コウカン</t>
    </rPh>
    <rPh sb="6" eb="7">
      <t>カイ</t>
    </rPh>
    <rPh sb="7" eb="8">
      <t>ブン</t>
    </rPh>
    <rPh sb="9" eb="11">
      <t>コウチン</t>
    </rPh>
    <phoneticPr fontId="2"/>
  </si>
  <si>
    <t>オイル交換の１回当たり工賃を入力。</t>
    <rPh sb="3" eb="5">
      <t>コウカン</t>
    </rPh>
    <rPh sb="7" eb="8">
      <t>カイ</t>
    </rPh>
    <rPh sb="8" eb="9">
      <t>アタ</t>
    </rPh>
    <rPh sb="11" eb="13">
      <t>コウチン</t>
    </rPh>
    <rPh sb="14" eb="16">
      <t>ニュウリョク</t>
    </rPh>
    <phoneticPr fontId="2"/>
  </si>
  <si>
    <t>オイルの交換走行距離</t>
    <rPh sb="4" eb="6">
      <t>コウカン</t>
    </rPh>
    <rPh sb="6" eb="8">
      <t>ソウコウ</t>
    </rPh>
    <rPh sb="8" eb="10">
      <t>キョリ</t>
    </rPh>
    <phoneticPr fontId="2"/>
  </si>
  <si>
    <t>km</t>
    <phoneticPr fontId="2"/>
  </si>
  <si>
    <t>オイルを交換の目安となる平均走行距離（交換する走行距離）を入力。</t>
    <rPh sb="4" eb="6">
      <t>コウカン</t>
    </rPh>
    <rPh sb="7" eb="9">
      <t>メヤス</t>
    </rPh>
    <rPh sb="12" eb="14">
      <t>ヘイキン</t>
    </rPh>
    <rPh sb="14" eb="16">
      <t>ソウコウ</t>
    </rPh>
    <rPh sb="16" eb="18">
      <t>キョリ</t>
    </rPh>
    <rPh sb="19" eb="21">
      <t>コウカン</t>
    </rPh>
    <rPh sb="23" eb="25">
      <t>ソウコウ</t>
    </rPh>
    <rPh sb="25" eb="27">
      <t>キョリ</t>
    </rPh>
    <rPh sb="29" eb="31">
      <t>ニュウリョク</t>
    </rPh>
    <phoneticPr fontId="2"/>
  </si>
  <si>
    <t>1km当たりオイル費</t>
    <rPh sb="3" eb="4">
      <t>ア</t>
    </rPh>
    <rPh sb="9" eb="10">
      <t>ヒ</t>
    </rPh>
    <phoneticPr fontId="2"/>
  </si>
  <si>
    <t>【入力不要】1km当たりオイル費を算出</t>
    <rPh sb="9" eb="10">
      <t>ア</t>
    </rPh>
    <rPh sb="15" eb="16">
      <t>ヒ</t>
    </rPh>
    <phoneticPr fontId="2"/>
  </si>
  <si>
    <t>タイヤ費</t>
    <rPh sb="3" eb="4">
      <t>ヒ</t>
    </rPh>
    <phoneticPr fontId="2"/>
  </si>
  <si>
    <t>タイヤ１本当たり費用</t>
    <rPh sb="4" eb="5">
      <t>ホン</t>
    </rPh>
    <rPh sb="5" eb="6">
      <t>ア</t>
    </rPh>
    <rPh sb="8" eb="10">
      <t>ヒヨウ</t>
    </rPh>
    <phoneticPr fontId="2"/>
  </si>
  <si>
    <t>タイヤ１本当たりの平均費用を入力。</t>
    <phoneticPr fontId="2"/>
  </si>
  <si>
    <t>タイヤ交換本数</t>
    <rPh sb="3" eb="5">
      <t>コウカン</t>
    </rPh>
    <rPh sb="5" eb="7">
      <t>ホンスウ</t>
    </rPh>
    <phoneticPr fontId="2"/>
  </si>
  <si>
    <t>本</t>
    <rPh sb="0" eb="1">
      <t>ホン</t>
    </rPh>
    <phoneticPr fontId="2"/>
  </si>
  <si>
    <t>必要なタイヤの本数を入力。（スペアタイヤを含めない）</t>
    <rPh sb="21" eb="22">
      <t>フク</t>
    </rPh>
    <phoneticPr fontId="2"/>
  </si>
  <si>
    <t>タイヤ交換１回分の工賃</t>
    <rPh sb="3" eb="5">
      <t>コウカン</t>
    </rPh>
    <rPh sb="9" eb="11">
      <t>コウチン</t>
    </rPh>
    <phoneticPr fontId="2"/>
  </si>
  <si>
    <t>タイヤ交換に必要な１回当りの平均的な工賃（着脱・組み換え・古タイヤの廃棄費用等の合計）を入力。（１本当たり工賃×本数）</t>
    <rPh sb="3" eb="5">
      <t>コウカン</t>
    </rPh>
    <rPh sb="6" eb="8">
      <t>ヒツヨウ</t>
    </rPh>
    <rPh sb="10" eb="11">
      <t>カイ</t>
    </rPh>
    <rPh sb="11" eb="12">
      <t>アタ</t>
    </rPh>
    <rPh sb="14" eb="17">
      <t>ヘイキンテキ</t>
    </rPh>
    <rPh sb="18" eb="20">
      <t>コウチン</t>
    </rPh>
    <rPh sb="21" eb="23">
      <t>チャクダツ</t>
    </rPh>
    <rPh sb="24" eb="25">
      <t>ク</t>
    </rPh>
    <rPh sb="26" eb="27">
      <t>カ</t>
    </rPh>
    <rPh sb="29" eb="30">
      <t>フル</t>
    </rPh>
    <rPh sb="34" eb="36">
      <t>ハイキ</t>
    </rPh>
    <rPh sb="36" eb="38">
      <t>ヒヨウ</t>
    </rPh>
    <rPh sb="38" eb="39">
      <t>トウ</t>
    </rPh>
    <rPh sb="40" eb="42">
      <t>ゴウケイ</t>
    </rPh>
    <rPh sb="49" eb="50">
      <t>ホン</t>
    </rPh>
    <rPh sb="50" eb="51">
      <t>ア</t>
    </rPh>
    <rPh sb="53" eb="55">
      <t>コウチン</t>
    </rPh>
    <rPh sb="56" eb="58">
      <t>ホンスウ</t>
    </rPh>
    <phoneticPr fontId="2"/>
  </si>
  <si>
    <t>タイヤ交換走行距離</t>
    <rPh sb="3" eb="5">
      <t>コウカン</t>
    </rPh>
    <rPh sb="5" eb="7">
      <t>ソウコウ</t>
    </rPh>
    <rPh sb="7" eb="9">
      <t>キョリ</t>
    </rPh>
    <phoneticPr fontId="2"/>
  </si>
  <si>
    <t>タイヤ交換する目安となる走行距離を入力。</t>
    <rPh sb="3" eb="5">
      <t>コウカン</t>
    </rPh>
    <rPh sb="7" eb="9">
      <t>メヤス</t>
    </rPh>
    <rPh sb="12" eb="14">
      <t>ソウコウ</t>
    </rPh>
    <rPh sb="14" eb="16">
      <t>キョリ</t>
    </rPh>
    <phoneticPr fontId="2"/>
  </si>
  <si>
    <t>1km当たりタイヤ費</t>
    <rPh sb="3" eb="4">
      <t>ア</t>
    </rPh>
    <rPh sb="9" eb="10">
      <t>ヒ</t>
    </rPh>
    <phoneticPr fontId="2"/>
  </si>
  <si>
    <t>【入力不要】1km当たりタイヤ費を算出</t>
    <rPh sb="9" eb="10">
      <t>ア</t>
    </rPh>
    <rPh sb="15" eb="16">
      <t>ヒ</t>
    </rPh>
    <phoneticPr fontId="2"/>
  </si>
  <si>
    <t>尿素水費</t>
    <rPh sb="0" eb="2">
      <t>ニョウソ</t>
    </rPh>
    <rPh sb="2" eb="3">
      <t>スイ</t>
    </rPh>
    <rPh sb="3" eb="4">
      <t>ヒ</t>
    </rPh>
    <phoneticPr fontId="2"/>
  </si>
  <si>
    <t>尿素水単価</t>
    <rPh sb="0" eb="2">
      <t>ニョウソ</t>
    </rPh>
    <rPh sb="2" eb="3">
      <t>スイ</t>
    </rPh>
    <rPh sb="3" eb="5">
      <t>タンカ</t>
    </rPh>
    <phoneticPr fontId="2"/>
  </si>
  <si>
    <t>尿素水の１リットル当たりの単価を入力。</t>
    <rPh sb="9" eb="10">
      <t>ア</t>
    </rPh>
    <rPh sb="13" eb="15">
      <t>タンカ</t>
    </rPh>
    <rPh sb="16" eb="18">
      <t>ニュウリョク</t>
    </rPh>
    <phoneticPr fontId="2"/>
  </si>
  <si>
    <t>１L当たり走行距離</t>
    <rPh sb="2" eb="3">
      <t>ア</t>
    </rPh>
    <rPh sb="5" eb="7">
      <t>ソウコウ</t>
    </rPh>
    <rPh sb="7" eb="9">
      <t>キョリ</t>
    </rPh>
    <phoneticPr fontId="2"/>
  </si>
  <si>
    <t>尿素水1L当たり走行距離を入力。</t>
    <rPh sb="5" eb="6">
      <t>ア</t>
    </rPh>
    <rPh sb="8" eb="10">
      <t>ソウコウ</t>
    </rPh>
    <rPh sb="10" eb="12">
      <t>キョリ</t>
    </rPh>
    <rPh sb="13" eb="15">
      <t>ニュウリョク</t>
    </rPh>
    <phoneticPr fontId="2"/>
  </si>
  <si>
    <t>1km当たり尿素水費</t>
    <rPh sb="3" eb="4">
      <t>ア</t>
    </rPh>
    <rPh sb="6" eb="8">
      <t>ニョウソ</t>
    </rPh>
    <rPh sb="8" eb="9">
      <t>スイ</t>
    </rPh>
    <rPh sb="9" eb="10">
      <t>ヒ</t>
    </rPh>
    <phoneticPr fontId="2"/>
  </si>
  <si>
    <t>【入力不要】1km当たり尿素水費を算出</t>
    <rPh sb="9" eb="10">
      <t>ア</t>
    </rPh>
    <rPh sb="12" eb="14">
      <t>ニョウソ</t>
    </rPh>
    <rPh sb="14" eb="15">
      <t>スイ</t>
    </rPh>
    <rPh sb="15" eb="16">
      <t>ヒ</t>
    </rPh>
    <phoneticPr fontId="2"/>
  </si>
  <si>
    <t>車検・修理費</t>
    <rPh sb="0" eb="2">
      <t>シャケン</t>
    </rPh>
    <rPh sb="3" eb="6">
      <t>シュウリヒ</t>
    </rPh>
    <phoneticPr fontId="2"/>
  </si>
  <si>
    <t>年間車検整備費</t>
    <rPh sb="0" eb="2">
      <t>ネンカン</t>
    </rPh>
    <rPh sb="2" eb="4">
      <t>シャケン</t>
    </rPh>
    <rPh sb="4" eb="6">
      <t>セイビ</t>
    </rPh>
    <rPh sb="6" eb="7">
      <t>ヒ</t>
    </rPh>
    <phoneticPr fontId="2"/>
  </si>
  <si>
    <t>車検のための平均的な車検整備費用を入力。（自賠責保険料、自動車重量税を除外）</t>
    <rPh sb="0" eb="2">
      <t>シャケン</t>
    </rPh>
    <rPh sb="6" eb="9">
      <t>ヘイキンテキ</t>
    </rPh>
    <rPh sb="10" eb="12">
      <t>シャケン</t>
    </rPh>
    <rPh sb="12" eb="14">
      <t>セイビ</t>
    </rPh>
    <rPh sb="14" eb="16">
      <t>ヒヨウ</t>
    </rPh>
    <rPh sb="21" eb="24">
      <t>ジバイセキ</t>
    </rPh>
    <rPh sb="24" eb="26">
      <t>ホケン</t>
    </rPh>
    <rPh sb="26" eb="27">
      <t>リョウ</t>
    </rPh>
    <rPh sb="28" eb="31">
      <t>ジドウシャ</t>
    </rPh>
    <rPh sb="31" eb="34">
      <t>ジュウリョウゼイ</t>
    </rPh>
    <rPh sb="35" eb="37">
      <t>ジョガイ</t>
    </rPh>
    <phoneticPr fontId="2"/>
  </si>
  <si>
    <t>年間一般修理費</t>
    <rPh sb="0" eb="2">
      <t>ネンカン</t>
    </rPh>
    <rPh sb="2" eb="4">
      <t>イッパン</t>
    </rPh>
    <rPh sb="4" eb="7">
      <t>シュウリヒ</t>
    </rPh>
    <phoneticPr fontId="2"/>
  </si>
  <si>
    <t>車検整備費以外の一般修理費用を入力。（定期点検費用他）</t>
    <rPh sb="0" eb="2">
      <t>シャケン</t>
    </rPh>
    <rPh sb="2" eb="4">
      <t>セイビ</t>
    </rPh>
    <rPh sb="4" eb="5">
      <t>ヒ</t>
    </rPh>
    <rPh sb="5" eb="7">
      <t>イガイ</t>
    </rPh>
    <rPh sb="8" eb="10">
      <t>イッパン</t>
    </rPh>
    <rPh sb="10" eb="13">
      <t>シュウリヒ</t>
    </rPh>
    <rPh sb="13" eb="14">
      <t>ヨウ</t>
    </rPh>
    <rPh sb="15" eb="17">
      <t>ニュウリョク</t>
    </rPh>
    <rPh sb="19" eb="21">
      <t>テイキ</t>
    </rPh>
    <rPh sb="21" eb="23">
      <t>テンケン</t>
    </rPh>
    <rPh sb="23" eb="25">
      <t>ヒヨウ</t>
    </rPh>
    <rPh sb="25" eb="26">
      <t>ホカ</t>
    </rPh>
    <phoneticPr fontId="2"/>
  </si>
  <si>
    <t>次回車検・修理までの走行距離（予想）</t>
    <rPh sb="0" eb="2">
      <t>ジカイ</t>
    </rPh>
    <rPh sb="2" eb="4">
      <t>シャケン</t>
    </rPh>
    <rPh sb="5" eb="7">
      <t>シュウリ</t>
    </rPh>
    <rPh sb="10" eb="12">
      <t>ソウコウ</t>
    </rPh>
    <rPh sb="12" eb="14">
      <t>キョリ</t>
    </rPh>
    <rPh sb="15" eb="17">
      <t>ヨソウ</t>
    </rPh>
    <phoneticPr fontId="2"/>
  </si>
  <si>
    <t>年間の平均走行距離を入力。</t>
    <rPh sb="0" eb="2">
      <t>ネンカン</t>
    </rPh>
    <rPh sb="3" eb="5">
      <t>ヘイキン</t>
    </rPh>
    <rPh sb="5" eb="7">
      <t>ソウコウ</t>
    </rPh>
    <rPh sb="7" eb="9">
      <t>キョリ</t>
    </rPh>
    <rPh sb="10" eb="12">
      <t>ニュウリョク</t>
    </rPh>
    <phoneticPr fontId="2"/>
  </si>
  <si>
    <t>1km当たり車検・修理費</t>
    <rPh sb="3" eb="4">
      <t>ア</t>
    </rPh>
    <rPh sb="6" eb="8">
      <t>シャケン</t>
    </rPh>
    <rPh sb="9" eb="11">
      <t>シュウリ</t>
    </rPh>
    <rPh sb="11" eb="12">
      <t>ヒ</t>
    </rPh>
    <phoneticPr fontId="2"/>
  </si>
  <si>
    <t>【入力不要】1km当たり車検・修理費を算出</t>
    <rPh sb="9" eb="10">
      <t>ア</t>
    </rPh>
    <rPh sb="12" eb="14">
      <t>シャケン</t>
    </rPh>
    <rPh sb="15" eb="18">
      <t>シュウリヒ</t>
    </rPh>
    <phoneticPr fontId="2"/>
  </si>
  <si>
    <t>間接</t>
    <rPh sb="0" eb="2">
      <t>カンセツ</t>
    </rPh>
    <phoneticPr fontId="2"/>
  </si>
  <si>
    <t>変動費に対応する間接費（1km当たり）</t>
    <phoneticPr fontId="2"/>
  </si>
  <si>
    <t>【入力不要】年間費用額を算出</t>
    <phoneticPr fontId="2"/>
  </si>
  <si>
    <t>1km当たり変動費</t>
    <rPh sb="3" eb="4">
      <t>ア</t>
    </rPh>
    <rPh sb="6" eb="8">
      <t>ヘンドウ</t>
    </rPh>
    <rPh sb="8" eb="9">
      <t>ヒ</t>
    </rPh>
    <phoneticPr fontId="2"/>
  </si>
  <si>
    <t>Ⅲ　被牽引車（シャーシー）の算出条件</t>
    <rPh sb="14" eb="16">
      <t>サンシュツ</t>
    </rPh>
    <rPh sb="16" eb="18">
      <t>ジョウケン</t>
    </rPh>
    <phoneticPr fontId="2"/>
  </si>
  <si>
    <t>被牽引車（シャーシー）の調達価格</t>
    <rPh sb="0" eb="1">
      <t>ヒ</t>
    </rPh>
    <rPh sb="1" eb="4">
      <t>ケンインシャ</t>
    </rPh>
    <rPh sb="12" eb="14">
      <t>チョウタツ</t>
    </rPh>
    <rPh sb="14" eb="16">
      <t>カカク</t>
    </rPh>
    <phoneticPr fontId="2"/>
  </si>
  <si>
    <t>被牽引車の車両本体価格を入力。リースの場合、全期間の総支払額を入力。</t>
    <rPh sb="0" eb="1">
      <t>ヒ</t>
    </rPh>
    <rPh sb="1" eb="4">
      <t>ケンインシャ</t>
    </rPh>
    <rPh sb="5" eb="7">
      <t>シャリョウ</t>
    </rPh>
    <rPh sb="7" eb="9">
      <t>ホンタイ</t>
    </rPh>
    <rPh sb="9" eb="11">
      <t>カカク</t>
    </rPh>
    <rPh sb="19" eb="21">
      <t>バアイ</t>
    </rPh>
    <rPh sb="22" eb="25">
      <t>ゼンキカン</t>
    </rPh>
    <rPh sb="26" eb="27">
      <t>ソウ</t>
    </rPh>
    <rPh sb="27" eb="29">
      <t>シハライ</t>
    </rPh>
    <rPh sb="29" eb="30">
      <t>ガク</t>
    </rPh>
    <rPh sb="31" eb="33">
      <t>ニュウリョク</t>
    </rPh>
    <phoneticPr fontId="2"/>
  </si>
  <si>
    <t>被牽引車のオプション費用他を入力。</t>
    <rPh sb="10" eb="11">
      <t>ヒ</t>
    </rPh>
    <rPh sb="12" eb="13">
      <t>ホカ</t>
    </rPh>
    <phoneticPr fontId="2"/>
  </si>
  <si>
    <t>被牽引車の車両償却年数とヘッドの年数を一致させずに入力することも可能です。</t>
    <rPh sb="5" eb="7">
      <t>シャリョウ</t>
    </rPh>
    <rPh sb="7" eb="9">
      <t>ショウキャク</t>
    </rPh>
    <rPh sb="9" eb="11">
      <t>ネンスウ</t>
    </rPh>
    <rPh sb="16" eb="18">
      <t>ネンスウ</t>
    </rPh>
    <rPh sb="19" eb="21">
      <t>イッチ</t>
    </rPh>
    <rPh sb="25" eb="27">
      <t>ニュウリョク</t>
    </rPh>
    <rPh sb="32" eb="34">
      <t>カノウ</t>
    </rPh>
    <phoneticPr fontId="2"/>
  </si>
  <si>
    <t>被牽引車　1年当たり車両費</t>
    <rPh sb="6" eb="7">
      <t>ネン</t>
    </rPh>
    <rPh sb="7" eb="8">
      <t>ア</t>
    </rPh>
    <rPh sb="10" eb="12">
      <t>シャリョウ</t>
    </rPh>
    <rPh sb="12" eb="13">
      <t>ヒ</t>
    </rPh>
    <phoneticPr fontId="2"/>
  </si>
  <si>
    <t>【入力不要】年間の被牽引車の車両費を算出。</t>
    <rPh sb="9" eb="10">
      <t>ヒ</t>
    </rPh>
    <rPh sb="10" eb="13">
      <t>ケンインシャ</t>
    </rPh>
    <phoneticPr fontId="2"/>
  </si>
  <si>
    <t>被牽引車の支払総額を入力。</t>
    <rPh sb="5" eb="7">
      <t>シハラ</t>
    </rPh>
    <rPh sb="7" eb="9">
      <t>ソウガク</t>
    </rPh>
    <rPh sb="10" eb="12">
      <t>ニュウリョク</t>
    </rPh>
    <phoneticPr fontId="2"/>
  </si>
  <si>
    <t>被牽引車の年間の自動車税を入力。（参考：納付書を参照）</t>
    <rPh sb="8" eb="11">
      <t>ジドウシャ</t>
    </rPh>
    <rPh sb="11" eb="12">
      <t>ゼイ</t>
    </rPh>
    <rPh sb="17" eb="19">
      <t>サンコウ</t>
    </rPh>
    <rPh sb="20" eb="23">
      <t>ノウフショ</t>
    </rPh>
    <rPh sb="24" eb="26">
      <t>サンショウ</t>
    </rPh>
    <phoneticPr fontId="2"/>
  </si>
  <si>
    <t>被牽引車の年間の自動車重量税を入力。</t>
    <rPh sb="8" eb="11">
      <t>ジドウシャ</t>
    </rPh>
    <rPh sb="11" eb="14">
      <t>ジュウリョウゼイ</t>
    </rPh>
    <rPh sb="15" eb="17">
      <t>ニュウリョク</t>
    </rPh>
    <phoneticPr fontId="2"/>
  </si>
  <si>
    <t>被牽引車の年間の自賠責保険料を入力。</t>
    <rPh sb="8" eb="11">
      <t>ジバイセキ</t>
    </rPh>
    <rPh sb="11" eb="14">
      <t>ホケンリョウ</t>
    </rPh>
    <rPh sb="15" eb="17">
      <t>ニュウリョク</t>
    </rPh>
    <phoneticPr fontId="2"/>
  </si>
  <si>
    <t>被牽引車　間接費</t>
    <rPh sb="5" eb="7">
      <t>カンセツ</t>
    </rPh>
    <rPh sb="7" eb="8">
      <t>ヒ</t>
    </rPh>
    <phoneticPr fontId="2"/>
  </si>
  <si>
    <t>【入力不要】被牽引車の間接費を算出。</t>
    <rPh sb="11" eb="13">
      <t>カンセツ</t>
    </rPh>
    <rPh sb="13" eb="14">
      <t>ヒ</t>
    </rPh>
    <rPh sb="15" eb="17">
      <t>サンシュツ</t>
    </rPh>
    <phoneticPr fontId="2"/>
  </si>
  <si>
    <t>被牽引車　年間　固定費</t>
    <rPh sb="0" eb="1">
      <t>ヒ</t>
    </rPh>
    <rPh sb="1" eb="4">
      <t>ケンインシャ</t>
    </rPh>
    <rPh sb="5" eb="7">
      <t>ネンカン</t>
    </rPh>
    <rPh sb="8" eb="11">
      <t>コテイヒ</t>
    </rPh>
    <phoneticPr fontId="2"/>
  </si>
  <si>
    <t>【入力不要】被牽引車の年間固定費を算出。</t>
    <rPh sb="6" eb="7">
      <t>ヒ</t>
    </rPh>
    <rPh sb="7" eb="10">
      <t>ケンインシャ</t>
    </rPh>
    <rPh sb="11" eb="13">
      <t>ネンカン</t>
    </rPh>
    <rPh sb="13" eb="16">
      <t>コテイヒ</t>
    </rPh>
    <rPh sb="17" eb="19">
      <t>サンシュツ</t>
    </rPh>
    <phoneticPr fontId="2"/>
  </si>
  <si>
    <t>被牽引車のタイヤ１本当たりの平均費用を入力。</t>
    <rPh sb="9" eb="10">
      <t>ホン</t>
    </rPh>
    <rPh sb="10" eb="11">
      <t>ア</t>
    </rPh>
    <rPh sb="14" eb="16">
      <t>ヘイキン</t>
    </rPh>
    <rPh sb="16" eb="18">
      <t>ヒヨウ</t>
    </rPh>
    <phoneticPr fontId="2"/>
  </si>
  <si>
    <t>被牽引車の必要なタイヤの本数を入力。</t>
    <phoneticPr fontId="2"/>
  </si>
  <si>
    <t>被牽引車のタイヤ交換に必要な１回当りの平均的な工賃（着脱・組み換え・古タイヤの廃棄費用等の合計）を入力。</t>
    <rPh sb="8" eb="10">
      <t>コウカン</t>
    </rPh>
    <rPh sb="11" eb="13">
      <t>ヒツヨウ</t>
    </rPh>
    <rPh sb="15" eb="16">
      <t>カイ</t>
    </rPh>
    <rPh sb="16" eb="17">
      <t>アタ</t>
    </rPh>
    <rPh sb="19" eb="22">
      <t>ヘイキンテキ</t>
    </rPh>
    <rPh sb="23" eb="25">
      <t>コウチン</t>
    </rPh>
    <rPh sb="26" eb="28">
      <t>チャクダツ</t>
    </rPh>
    <rPh sb="29" eb="30">
      <t>ク</t>
    </rPh>
    <rPh sb="31" eb="32">
      <t>カ</t>
    </rPh>
    <rPh sb="34" eb="35">
      <t>フル</t>
    </rPh>
    <rPh sb="39" eb="41">
      <t>ハイキ</t>
    </rPh>
    <rPh sb="41" eb="43">
      <t>ヒヨウ</t>
    </rPh>
    <rPh sb="43" eb="44">
      <t>トウ</t>
    </rPh>
    <rPh sb="45" eb="47">
      <t>ゴウケイ</t>
    </rPh>
    <phoneticPr fontId="2"/>
  </si>
  <si>
    <t>被牽引車のタイヤ交換する目安となる走行距離を入力。</t>
    <rPh sb="8" eb="10">
      <t>コウカン</t>
    </rPh>
    <rPh sb="12" eb="14">
      <t>メヤス</t>
    </rPh>
    <rPh sb="17" eb="19">
      <t>ソウコウ</t>
    </rPh>
    <rPh sb="19" eb="21">
      <t>キョリ</t>
    </rPh>
    <phoneticPr fontId="2"/>
  </si>
  <si>
    <t>被牽引車　1km当たりタイヤ費</t>
    <rPh sb="8" eb="9">
      <t>ア</t>
    </rPh>
    <rPh sb="14" eb="15">
      <t>ヒ</t>
    </rPh>
    <phoneticPr fontId="2"/>
  </si>
  <si>
    <t>【入力不要】被牽引車の1km当たりタイヤ費を算出。</t>
    <rPh sb="6" eb="7">
      <t>ヒ</t>
    </rPh>
    <rPh sb="7" eb="10">
      <t>ケンインシャ</t>
    </rPh>
    <rPh sb="14" eb="15">
      <t>ア</t>
    </rPh>
    <rPh sb="20" eb="21">
      <t>ヒ</t>
    </rPh>
    <phoneticPr fontId="2"/>
  </si>
  <si>
    <t>被牽引車の車検のための平均的な整備費用（見込）を入力。</t>
    <rPh sb="5" eb="7">
      <t>シャケン</t>
    </rPh>
    <rPh sb="11" eb="14">
      <t>ヘイキンテキ</t>
    </rPh>
    <rPh sb="15" eb="17">
      <t>セイビ</t>
    </rPh>
    <rPh sb="17" eb="19">
      <t>ヒヨウ</t>
    </rPh>
    <rPh sb="20" eb="22">
      <t>ミコ</t>
    </rPh>
    <phoneticPr fontId="2"/>
  </si>
  <si>
    <t>一般修理費用</t>
    <rPh sb="0" eb="2">
      <t>イッパン</t>
    </rPh>
    <rPh sb="2" eb="5">
      <t>シュウリヒ</t>
    </rPh>
    <rPh sb="5" eb="6">
      <t>ヨウ</t>
    </rPh>
    <phoneticPr fontId="2"/>
  </si>
  <si>
    <t>被牽引車の車検整備費以外の一般修理費用（年間の修理費）を入力。</t>
    <rPh sb="5" eb="7">
      <t>シャケン</t>
    </rPh>
    <rPh sb="7" eb="9">
      <t>セイビ</t>
    </rPh>
    <rPh sb="9" eb="10">
      <t>ヒ</t>
    </rPh>
    <rPh sb="10" eb="12">
      <t>イガイ</t>
    </rPh>
    <rPh sb="13" eb="15">
      <t>イッパン</t>
    </rPh>
    <rPh sb="15" eb="18">
      <t>シュウリヒ</t>
    </rPh>
    <rPh sb="18" eb="19">
      <t>ヨウ</t>
    </rPh>
    <rPh sb="23" eb="26">
      <t>シュウリヒ</t>
    </rPh>
    <phoneticPr fontId="2"/>
  </si>
  <si>
    <t>次回車検・修理までの走行距離</t>
    <rPh sb="0" eb="2">
      <t>ジカイ</t>
    </rPh>
    <rPh sb="2" eb="4">
      <t>シャケン</t>
    </rPh>
    <rPh sb="5" eb="7">
      <t>シュウリ</t>
    </rPh>
    <rPh sb="10" eb="12">
      <t>ソウコウ</t>
    </rPh>
    <rPh sb="12" eb="14">
      <t>キョリ</t>
    </rPh>
    <phoneticPr fontId="2"/>
  </si>
  <si>
    <t>被牽引車の年間走行距離を入力。</t>
    <rPh sb="5" eb="7">
      <t>ネンカン</t>
    </rPh>
    <rPh sb="7" eb="9">
      <t>ソウコウ</t>
    </rPh>
    <rPh sb="9" eb="11">
      <t>キョリ</t>
    </rPh>
    <rPh sb="12" eb="14">
      <t>ニュウリョク</t>
    </rPh>
    <phoneticPr fontId="2"/>
  </si>
  <si>
    <t>被牽引車　1km当たり車検・修理費</t>
    <rPh sb="8" eb="9">
      <t>ア</t>
    </rPh>
    <rPh sb="11" eb="13">
      <t>シャケン</t>
    </rPh>
    <rPh sb="14" eb="16">
      <t>シュウリ</t>
    </rPh>
    <rPh sb="16" eb="17">
      <t>ヒ</t>
    </rPh>
    <phoneticPr fontId="2"/>
  </si>
  <si>
    <t>【入力不要】被牽引車の1km当たり車検・修理費を算出。</t>
    <rPh sb="6" eb="7">
      <t>ヒ</t>
    </rPh>
    <rPh sb="7" eb="10">
      <t>ケンインシャ</t>
    </rPh>
    <rPh sb="14" eb="15">
      <t>ア</t>
    </rPh>
    <rPh sb="17" eb="19">
      <t>シャケン</t>
    </rPh>
    <rPh sb="20" eb="23">
      <t>シュウリヒ</t>
    </rPh>
    <phoneticPr fontId="2"/>
  </si>
  <si>
    <t>間接費</t>
  </si>
  <si>
    <t>被牽引車　1km当たり変動費</t>
    <rPh sb="0" eb="1">
      <t>ヒ</t>
    </rPh>
    <rPh sb="1" eb="4">
      <t>ケンインシャ</t>
    </rPh>
    <rPh sb="8" eb="9">
      <t>ア</t>
    </rPh>
    <rPh sb="11" eb="13">
      <t>ヘンドウ</t>
    </rPh>
    <rPh sb="13" eb="14">
      <t>ヒ</t>
    </rPh>
    <phoneticPr fontId="2"/>
  </si>
  <si>
    <t>【入力不要】被牽引車の1km当たり変動費を算出。</t>
    <rPh sb="21" eb="23">
      <t>サンシュツ</t>
    </rPh>
    <phoneticPr fontId="2"/>
  </si>
  <si>
    <t>距離制運賃</t>
    <rPh sb="0" eb="2">
      <t>キョリ</t>
    </rPh>
    <rPh sb="2" eb="3">
      <t>セイ</t>
    </rPh>
    <rPh sb="3" eb="5">
      <t>ウンチン</t>
    </rPh>
    <phoneticPr fontId="2"/>
  </si>
  <si>
    <t>単車/トレーラ　コード</t>
    <rPh sb="0" eb="2">
      <t>タンシャ</t>
    </rPh>
    <phoneticPr fontId="2"/>
  </si>
  <si>
    <t>単車</t>
    <rPh sb="0" eb="2">
      <t>タンシャ</t>
    </rPh>
    <phoneticPr fontId="2"/>
  </si>
  <si>
    <t>1時間当たり固定費（基本労働時間部分）</t>
    <rPh sb="1" eb="3">
      <t>ジカン</t>
    </rPh>
    <rPh sb="3" eb="4">
      <t>ア</t>
    </rPh>
    <rPh sb="6" eb="9">
      <t>コテイヒ</t>
    </rPh>
    <rPh sb="10" eb="12">
      <t>キホン</t>
    </rPh>
    <rPh sb="12" eb="14">
      <t>ロウドウ</t>
    </rPh>
    <rPh sb="14" eb="16">
      <t>ジカン</t>
    </rPh>
    <rPh sb="16" eb="18">
      <t>ブブン</t>
    </rPh>
    <phoneticPr fontId="2"/>
  </si>
  <si>
    <t>トレーラ</t>
    <phoneticPr fontId="2"/>
  </si>
  <si>
    <t>1時間当たり費用（所定外労働時間部分）</t>
    <rPh sb="1" eb="3">
      <t>ジカン</t>
    </rPh>
    <rPh sb="3" eb="4">
      <t>ア</t>
    </rPh>
    <rPh sb="6" eb="8">
      <t>ヒヨウ</t>
    </rPh>
    <rPh sb="9" eb="11">
      <t>ショテイ</t>
    </rPh>
    <rPh sb="11" eb="12">
      <t>ガイ</t>
    </rPh>
    <rPh sb="12" eb="14">
      <t>ロウドウ</t>
    </rPh>
    <rPh sb="14" eb="16">
      <t>ジカン</t>
    </rPh>
    <rPh sb="16" eb="18">
      <t>ブブン</t>
    </rPh>
    <phoneticPr fontId="2"/>
  </si>
  <si>
    <t>トレーラー</t>
    <phoneticPr fontId="2"/>
  </si>
  <si>
    <t>円/km</t>
    <rPh sb="0" eb="1">
      <t>エン</t>
    </rPh>
    <phoneticPr fontId="2"/>
  </si>
  <si>
    <t>距離制運賃　算出単価(実車率は未反映）</t>
    <rPh sb="0" eb="2">
      <t>キョリ</t>
    </rPh>
    <rPh sb="2" eb="3">
      <t>セイ</t>
    </rPh>
    <rPh sb="3" eb="5">
      <t>ウンチン</t>
    </rPh>
    <rPh sb="6" eb="8">
      <t>サンシュツ</t>
    </rPh>
    <rPh sb="8" eb="10">
      <t>タンカ</t>
    </rPh>
    <rPh sb="11" eb="13">
      <t>ジッシャ</t>
    </rPh>
    <rPh sb="13" eb="14">
      <t>リツ</t>
    </rPh>
    <rPh sb="15" eb="16">
      <t>ミ</t>
    </rPh>
    <rPh sb="16" eb="18">
      <t>ハンエイ</t>
    </rPh>
    <phoneticPr fontId="2"/>
  </si>
  <si>
    <t>【入力不要】距離制運賃算出の原単位。利益加算、実車率は未反映。</t>
    <rPh sb="6" eb="8">
      <t>キョリ</t>
    </rPh>
    <rPh sb="8" eb="9">
      <t>セイ</t>
    </rPh>
    <rPh sb="9" eb="11">
      <t>ウンチン</t>
    </rPh>
    <rPh sb="11" eb="13">
      <t>サンシュツ</t>
    </rPh>
    <rPh sb="14" eb="17">
      <t>ゲンタンイ</t>
    </rPh>
    <rPh sb="18" eb="20">
      <t>リエキ</t>
    </rPh>
    <rPh sb="20" eb="22">
      <t>カサン</t>
    </rPh>
    <rPh sb="23" eb="25">
      <t>ジッシャ</t>
    </rPh>
    <rPh sb="25" eb="26">
      <t>リツ</t>
    </rPh>
    <rPh sb="27" eb="30">
      <t>ミハンエイ</t>
    </rPh>
    <phoneticPr fontId="2"/>
  </si>
  <si>
    <t>【入力不要】距離制運賃算出の原単位。利益加算、実車率は未反映。</t>
    <phoneticPr fontId="2"/>
  </si>
  <si>
    <t>時間制運賃　算出単価(実車率は未反映）</t>
    <rPh sb="0" eb="2">
      <t>ジカン</t>
    </rPh>
    <rPh sb="2" eb="3">
      <t>セイ</t>
    </rPh>
    <rPh sb="3" eb="5">
      <t>ウンチン</t>
    </rPh>
    <rPh sb="6" eb="8">
      <t>サンシュツ</t>
    </rPh>
    <rPh sb="8" eb="10">
      <t>タンカ</t>
    </rPh>
    <phoneticPr fontId="2"/>
  </si>
  <si>
    <t>時間制運賃</t>
    <rPh sb="0" eb="2">
      <t>ジカン</t>
    </rPh>
    <rPh sb="2" eb="3">
      <t>セイ</t>
    </rPh>
    <rPh sb="3" eb="5">
      <t>ウンチン</t>
    </rPh>
    <phoneticPr fontId="2"/>
  </si>
  <si>
    <t>【入力不要】時間制運賃算出の原単位。利益加算、実車率は未反映。</t>
    <rPh sb="6" eb="8">
      <t>ジカン</t>
    </rPh>
    <phoneticPr fontId="2"/>
  </si>
  <si>
    <t>【入力不要】時間制運賃算出の原単位。利益加算。</t>
    <rPh sb="6" eb="8">
      <t>ジカン</t>
    </rPh>
    <phoneticPr fontId="2"/>
  </si>
  <si>
    <t>１年間</t>
    <rPh sb="1" eb="3">
      <t>ネンカン</t>
    </rPh>
    <phoneticPr fontId="2"/>
  </si>
  <si>
    <t>１日</t>
    <rPh sb="1" eb="2">
      <t>ニチ</t>
    </rPh>
    <phoneticPr fontId="2"/>
  </si>
  <si>
    <t>１回運行</t>
    <rPh sb="1" eb="2">
      <t>カイ</t>
    </rPh>
    <rPh sb="2" eb="4">
      <t>ウンコウ</t>
    </rPh>
    <phoneticPr fontId="2"/>
  </si>
  <si>
    <t>１ヶ月</t>
    <rPh sb="2" eb="3">
      <t>ゲツ</t>
    </rPh>
    <phoneticPr fontId="2"/>
  </si>
  <si>
    <t>大型</t>
    <rPh sb="0" eb="2">
      <t>オオガタ</t>
    </rPh>
    <phoneticPr fontId="2"/>
  </si>
  <si>
    <t>バン</t>
    <phoneticPr fontId="2"/>
  </si>
  <si>
    <t>単車</t>
  </si>
  <si>
    <t>走行距離</t>
    <rPh sb="0" eb="4">
      <t>ソウコウキョリ</t>
    </rPh>
    <phoneticPr fontId="2"/>
  </si>
  <si>
    <t>車検・修理費（円）</t>
    <phoneticPr fontId="2"/>
  </si>
  <si>
    <t>その他費用</t>
    <rPh sb="1" eb="2">
      <t>タ</t>
    </rPh>
    <rPh sb="2" eb="4">
      <t>ヒヨウ</t>
    </rPh>
    <phoneticPr fontId="2"/>
  </si>
  <si>
    <t>自賠責保険、任意保険（円）</t>
    <phoneticPr fontId="2"/>
  </si>
  <si>
    <t>小計　運行費</t>
    <rPh sb="0" eb="2">
      <t>ショウケイ</t>
    </rPh>
    <rPh sb="3" eb="5">
      <t>ウンコウ</t>
    </rPh>
    <rPh sb="5" eb="6">
      <t>ヒ</t>
    </rPh>
    <phoneticPr fontId="2"/>
  </si>
  <si>
    <t>小計　車両費（円）</t>
    <rPh sb="0" eb="2">
      <t>ショウケイ</t>
    </rPh>
    <rPh sb="3" eb="5">
      <t>シャリョウ</t>
    </rPh>
    <rPh sb="5" eb="6">
      <t>ヒ</t>
    </rPh>
    <phoneticPr fontId="2"/>
  </si>
  <si>
    <t>運行費の間接費（円）</t>
    <rPh sb="0" eb="3">
      <t>ウンコウヒ</t>
    </rPh>
    <rPh sb="4" eb="7">
      <t>カンセツヒ</t>
    </rPh>
    <rPh sb="8" eb="9">
      <t>エン</t>
    </rPh>
    <phoneticPr fontId="2"/>
  </si>
  <si>
    <t>固定費　間接費（円）</t>
    <rPh sb="0" eb="3">
      <t>コテイヒ</t>
    </rPh>
    <rPh sb="4" eb="7">
      <t>カンセツヒ</t>
    </rPh>
    <phoneticPr fontId="2"/>
  </si>
  <si>
    <t>単価</t>
    <rPh sb="0" eb="2">
      <t>タンカ</t>
    </rPh>
    <phoneticPr fontId="2"/>
  </si>
  <si>
    <t>所要時間</t>
    <rPh sb="0" eb="4">
      <t>ショヨウジカン</t>
    </rPh>
    <phoneticPr fontId="2"/>
  </si>
  <si>
    <t>実車率</t>
    <rPh sb="0" eb="3">
      <t>ジッシャリツ</t>
    </rPh>
    <phoneticPr fontId="2"/>
  </si>
  <si>
    <t>適用運賃</t>
    <rPh sb="0" eb="2">
      <t>テキヨウ</t>
    </rPh>
    <rPh sb="2" eb="4">
      <t>ウンチン</t>
    </rPh>
    <phoneticPr fontId="2"/>
  </si>
  <si>
    <t>距離制運賃</t>
  </si>
  <si>
    <t>合計</t>
    <rPh sb="0" eb="2">
      <t>ゴウケイ</t>
    </rPh>
    <phoneticPr fontId="2"/>
  </si>
  <si>
    <t>差額</t>
    <rPh sb="0" eb="2">
      <t>サガク</t>
    </rPh>
    <phoneticPr fontId="2"/>
  </si>
  <si>
    <t>出発地</t>
    <rPh sb="0" eb="3">
      <t>シュッパツチ</t>
    </rPh>
    <phoneticPr fontId="2"/>
  </si>
  <si>
    <t>到着地</t>
    <rPh sb="0" eb="3">
      <t>トウチャクチ</t>
    </rPh>
    <phoneticPr fontId="2"/>
  </si>
  <si>
    <t>運行ルート別 原価データによる運賃の計算</t>
    <rPh sb="0" eb="2">
      <t>ウンコウ</t>
    </rPh>
    <rPh sb="5" eb="6">
      <t>ベツ</t>
    </rPh>
    <rPh sb="7" eb="9">
      <t>ゲンカ</t>
    </rPh>
    <rPh sb="15" eb="17">
      <t>ウンチン</t>
    </rPh>
    <rPh sb="18" eb="20">
      <t>ケイサン</t>
    </rPh>
    <phoneticPr fontId="2"/>
  </si>
  <si>
    <t>1km当たり
費用</t>
    <rPh sb="3" eb="4">
      <t>ア</t>
    </rPh>
    <rPh sb="7" eb="9">
      <t>ヒヨウ</t>
    </rPh>
    <phoneticPr fontId="2"/>
  </si>
  <si>
    <t>1時間当たり
費用</t>
    <rPh sb="1" eb="3">
      <t>ジカン</t>
    </rPh>
    <rPh sb="3" eb="4">
      <t>ア</t>
    </rPh>
    <rPh sb="7" eb="9">
      <t>ヒヨウ</t>
    </rPh>
    <phoneticPr fontId="2"/>
  </si>
  <si>
    <t>高速道路
料金</t>
    <rPh sb="0" eb="2">
      <t>コウソク</t>
    </rPh>
    <rPh sb="2" eb="4">
      <t>ドウロ</t>
    </rPh>
    <rPh sb="5" eb="7">
      <t>リョウキン</t>
    </rPh>
    <phoneticPr fontId="2"/>
  </si>
  <si>
    <t>収受
運賃額</t>
    <rPh sb="0" eb="2">
      <t>シュウジュ</t>
    </rPh>
    <rPh sb="3" eb="5">
      <t>ウンチン</t>
    </rPh>
    <rPh sb="5" eb="6">
      <t>ガク</t>
    </rPh>
    <phoneticPr fontId="2"/>
  </si>
  <si>
    <t>取引先名</t>
    <rPh sb="0" eb="3">
      <t>トリヒキサキ</t>
    </rPh>
    <rPh sb="3" eb="4">
      <t>メイ</t>
    </rPh>
    <phoneticPr fontId="2"/>
  </si>
  <si>
    <t>取引先別 原価データによる運賃の計算</t>
    <rPh sb="0" eb="3">
      <t>トリヒキサキ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</si>
</sst>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176" formatCode="#,##0\ &quot;円&quot;"/>
    <numFmt numFmtId="177" formatCode="#,##0\ &quot;km&quot;"/>
    <numFmt numFmtId="178" formatCode="#,##0\ &quot;本&quot;"/>
    <numFmt numFmtId="179" formatCode="0.0%"/>
    <numFmt numFmtId="180" formatCode="yyyy&quot;年&quot;m&quot;月&quot;;@"/>
    <numFmt numFmtId="181" formatCode="#,##0.0\ &quot;km/ℓ&quot;"/>
    <numFmt numFmtId="182" formatCode="#,##0.0\ &quot;円&quot;"/>
    <numFmt numFmtId="183" formatCode="#,##0.0\ &quot;ℓ&quot;"/>
    <numFmt numFmtId="184" formatCode="##\ &quot;月&quot;\ &quot;車&quot;&quot;両&quot;&quot;別&quot;&quot;の&quot;&quot;運&quot;&quot;送&quot;&quot;原&quot;&quot;価&quot;&quot;計&quot;&quot;算&quot;&quot;デ&quot;&quot;ー&quot;&quot;タ&quot;"/>
    <numFmt numFmtId="185" formatCode="#,##0.0"/>
    <numFmt numFmtId="186" formatCode="#,##0\ &quot;ℓ&quot;"/>
    <numFmt numFmtId="187" formatCode="0.00&quot;トン&quot;"/>
    <numFmt numFmtId="188" formatCode="#,##0&quot;円&quot;"/>
    <numFmt numFmtId="189" formatCode="0\ &quot;年&quot;"/>
    <numFmt numFmtId="190" formatCode="#,##0&quot;円&quot;;[Red]\-#,##0&quot;円&quot;"/>
    <numFmt numFmtId="191" formatCode="#,##0.00&quot;時&quot;&quot;間&quot;"/>
    <numFmt numFmtId="192" formatCode="#,##0.0&quot;日&quot;"/>
    <numFmt numFmtId="193" formatCode="#,##0&quot;時&quot;&quot;間&quot;"/>
    <numFmt numFmtId="194" formatCode="0.0000%"/>
    <numFmt numFmtId="195" formatCode="#,##0.0\ &quot;本&quot;"/>
    <numFmt numFmtId="196" formatCode="#,##0\ &quot;km/ℓ&quot;"/>
    <numFmt numFmtId="197" formatCode="#,##0.00\ &quot;円&quot;"/>
    <numFmt numFmtId="198" formatCode="#,##0.00\ &quot;時間&quot;"/>
    <numFmt numFmtId="199" formatCode="#,##0.00&quot;円&quot;"/>
    <numFmt numFmtId="200" formatCode="#,##0.00&quot;円&quot;;[Red]\-#,##0.00&quot;円&quot;"/>
    <numFmt numFmtId="201" formatCode="#,##0.00&quot;倍&quot;;[Red]\-#,##0.00&quot;倍&quot;"/>
    <numFmt numFmtId="202" formatCode="#,##0.0\ &quot;km&quot;"/>
    <numFmt numFmtId="203" formatCode="\+#,##0&quot;円&quot;;[Red]\▲#,##0&quot;円&quot;"/>
  </numFmts>
  <fonts count="2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font>
    <font>
      <sz val="11"/>
      <color theme="1"/>
      <name val="ＭＳ Ｐゴシック"/>
      <family val="3"/>
      <charset val="128"/>
    </font>
    <font>
      <sz val="8"/>
      <color theme="1"/>
      <name val="ＭＳ Ｐゴシック"/>
      <family val="3"/>
      <charset val="128"/>
    </font>
    <font>
      <sz val="11"/>
      <color rgb="FFFF0000"/>
      <name val="ＭＳ Ｐゴシック"/>
      <family val="3"/>
      <charset val="128"/>
    </font>
    <font>
      <sz val="8"/>
      <color rgb="FFFF0000"/>
      <name val="ＭＳ Ｐゴシック"/>
      <family val="3"/>
      <charset val="128"/>
    </font>
    <font>
      <sz val="10"/>
      <name val="ＭＳ Ｐゴシック"/>
      <family val="3"/>
      <charset val="128"/>
    </font>
    <font>
      <sz val="11"/>
      <name val="ＭＳ Ｐゴシック"/>
      <family val="3"/>
      <charset val="128"/>
    </font>
    <font>
      <sz val="8"/>
      <name val="ＭＳ Ｐゴシック"/>
      <family val="3"/>
      <charset val="128"/>
    </font>
    <font>
      <sz val="9"/>
      <color theme="1"/>
      <name val="ＭＳ Ｐゴシック"/>
      <family val="3"/>
      <charset val="128"/>
    </font>
    <font>
      <sz val="9"/>
      <color rgb="FFFF0000"/>
      <name val="ＭＳ Ｐゴシック"/>
      <family val="3"/>
      <charset val="128"/>
    </font>
    <font>
      <sz val="11"/>
      <color theme="0"/>
      <name val="ＭＳ Ｐゴシック"/>
      <family val="3"/>
      <charset val="128"/>
    </font>
    <font>
      <sz val="8"/>
      <color theme="0"/>
      <name val="ＭＳ Ｐゴシック"/>
      <family val="3"/>
      <charset val="128"/>
    </font>
    <font>
      <sz val="16"/>
      <color theme="1"/>
      <name val="ＭＳ Ｐゴシック"/>
      <family val="3"/>
      <charset val="128"/>
      <scheme val="minor"/>
    </font>
  </fonts>
  <fills count="14">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6"/>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rgb="FFFFFF00"/>
        <bgColor indexed="64"/>
      </patternFill>
    </fill>
    <fill>
      <patternFill patternType="solid">
        <fgColor theme="4" tint="0.79998168889431442"/>
        <bgColor indexed="64"/>
      </patternFill>
    </fill>
  </fills>
  <borders count="10">
    <border>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cellStyleXfs>
  <cellXfs count="197">
    <xf numFmtId="0" fontId="0" fillId="0" borderId="0" xfId="0">
      <alignment vertical="center"/>
    </xf>
    <xf numFmtId="0" fontId="4" fillId="3" borderId="0" xfId="0" applyFont="1" applyFill="1">
      <alignment vertical="center"/>
    </xf>
    <xf numFmtId="38" fontId="6" fillId="3" borderId="0" xfId="1" applyFont="1" applyFill="1" applyAlignment="1">
      <alignment vertical="center"/>
    </xf>
    <xf numFmtId="0" fontId="0" fillId="3" borderId="0" xfId="0" applyFill="1" applyAlignment="1">
      <alignment horizontal="center" vertical="center"/>
    </xf>
    <xf numFmtId="0" fontId="0" fillId="3" borderId="0" xfId="0" applyFill="1">
      <alignment vertical="center"/>
    </xf>
    <xf numFmtId="0" fontId="8" fillId="8" borderId="0" xfId="0" applyFont="1" applyFill="1" applyProtection="1">
      <alignment vertical="center"/>
      <protection hidden="1"/>
    </xf>
    <xf numFmtId="0" fontId="8" fillId="0" borderId="0" xfId="0" applyFont="1" applyProtection="1">
      <alignment vertical="center"/>
      <protection hidden="1"/>
    </xf>
    <xf numFmtId="0" fontId="8" fillId="2" borderId="1" xfId="0" applyFont="1" applyFill="1" applyBorder="1" applyAlignment="1" applyProtection="1">
      <alignment horizontal="center" vertical="center"/>
      <protection hidden="1"/>
    </xf>
    <xf numFmtId="0" fontId="9" fillId="2" borderId="5" xfId="0" applyFont="1" applyFill="1" applyBorder="1" applyAlignment="1" applyProtection="1">
      <alignment horizontal="center" vertical="center" wrapText="1"/>
      <protection hidden="1"/>
    </xf>
    <xf numFmtId="0" fontId="8" fillId="2" borderId="5" xfId="0" applyFont="1" applyFill="1" applyBorder="1" applyAlignment="1" applyProtection="1">
      <alignment horizontal="center" vertical="center"/>
      <protection hidden="1"/>
    </xf>
    <xf numFmtId="0" fontId="8" fillId="0" borderId="5" xfId="0" applyFont="1" applyBorder="1" applyAlignment="1" applyProtection="1">
      <alignment horizontal="center" vertical="center" textRotation="255"/>
      <protection hidden="1"/>
    </xf>
    <xf numFmtId="0" fontId="8" fillId="0" borderId="5" xfId="0" applyFont="1" applyBorder="1" applyProtection="1">
      <alignment vertical="center"/>
      <protection hidden="1"/>
    </xf>
    <xf numFmtId="0" fontId="8" fillId="0" borderId="5" xfId="0" applyFont="1" applyBorder="1" applyAlignment="1" applyProtection="1">
      <alignment horizontal="center" vertical="center"/>
      <protection hidden="1"/>
    </xf>
    <xf numFmtId="0" fontId="9" fillId="0" borderId="5" xfId="0" applyFont="1" applyBorder="1" applyAlignment="1" applyProtection="1">
      <alignment horizontal="left" vertical="center" wrapText="1"/>
      <protection hidden="1"/>
    </xf>
    <xf numFmtId="49" fontId="8" fillId="0" borderId="5" xfId="1" applyNumberFormat="1" applyFont="1" applyFill="1" applyBorder="1" applyAlignment="1" applyProtection="1">
      <alignment horizontal="center" vertical="center"/>
      <protection locked="0" hidden="1"/>
    </xf>
    <xf numFmtId="180" fontId="8" fillId="0" borderId="5" xfId="1" applyNumberFormat="1" applyFont="1" applyFill="1" applyBorder="1" applyAlignment="1" applyProtection="1">
      <alignment horizontal="center" vertical="center"/>
      <protection locked="0" hidden="1"/>
    </xf>
    <xf numFmtId="187" fontId="8" fillId="0" borderId="5" xfId="1" applyNumberFormat="1" applyFont="1" applyFill="1" applyBorder="1" applyAlignment="1" applyProtection="1">
      <alignment horizontal="center" vertical="center"/>
      <protection locked="0" hidden="1"/>
    </xf>
    <xf numFmtId="187" fontId="8" fillId="0" borderId="5" xfId="1" applyNumberFormat="1" applyFont="1" applyFill="1" applyBorder="1" applyAlignment="1" applyProtection="1">
      <alignment vertical="center"/>
      <protection locked="0" hidden="1"/>
    </xf>
    <xf numFmtId="0" fontId="8" fillId="0" borderId="4" xfId="0" applyFont="1" applyBorder="1" applyAlignment="1" applyProtection="1">
      <alignment horizontal="center" vertical="center"/>
      <protection hidden="1"/>
    </xf>
    <xf numFmtId="0" fontId="9" fillId="0" borderId="4" xfId="0" applyFont="1" applyBorder="1" applyAlignment="1" applyProtection="1">
      <alignment horizontal="left" vertical="center" wrapText="1"/>
      <protection hidden="1"/>
    </xf>
    <xf numFmtId="188" fontId="8" fillId="0" borderId="5" xfId="1" applyNumberFormat="1" applyFont="1" applyFill="1" applyBorder="1" applyAlignment="1" applyProtection="1">
      <alignment vertical="center"/>
      <protection locked="0" hidden="1"/>
    </xf>
    <xf numFmtId="189" fontId="8" fillId="0" borderId="5" xfId="1" applyNumberFormat="1" applyFont="1" applyFill="1" applyBorder="1" applyAlignment="1" applyProtection="1">
      <alignment vertical="center"/>
      <protection locked="0" hidden="1"/>
    </xf>
    <xf numFmtId="0" fontId="10" fillId="9" borderId="5" xfId="0" applyFont="1" applyFill="1" applyBorder="1" applyAlignment="1" applyProtection="1">
      <alignment horizontal="center" vertical="center"/>
      <protection hidden="1"/>
    </xf>
    <xf numFmtId="0" fontId="10" fillId="9" borderId="4" xfId="0" applyFont="1" applyFill="1" applyBorder="1" applyAlignment="1" applyProtection="1">
      <alignment horizontal="center" vertical="center"/>
      <protection hidden="1"/>
    </xf>
    <xf numFmtId="0" fontId="11" fillId="9" borderId="4" xfId="0" applyFont="1" applyFill="1" applyBorder="1" applyAlignment="1" applyProtection="1">
      <alignment horizontal="left" vertical="center" wrapText="1"/>
      <protection hidden="1"/>
    </xf>
    <xf numFmtId="176" fontId="10" fillId="9" borderId="5" xfId="1" applyNumberFormat="1" applyFont="1" applyFill="1" applyBorder="1" applyAlignment="1" applyProtection="1">
      <alignment vertical="center"/>
      <protection hidden="1"/>
    </xf>
    <xf numFmtId="0" fontId="12" fillId="0" borderId="7" xfId="0" applyFont="1" applyBorder="1" applyAlignment="1" applyProtection="1">
      <alignment horizontal="left" vertical="center"/>
      <protection hidden="1"/>
    </xf>
    <xf numFmtId="0" fontId="13" fillId="0" borderId="8" xfId="0" applyFont="1" applyBorder="1" applyAlignment="1" applyProtection="1">
      <alignment horizontal="center" vertical="center"/>
      <protection hidden="1"/>
    </xf>
    <xf numFmtId="0" fontId="14" fillId="0" borderId="8" xfId="0" applyFont="1" applyBorder="1" applyAlignment="1" applyProtection="1">
      <alignment horizontal="left" vertical="center" wrapText="1"/>
      <protection hidden="1"/>
    </xf>
    <xf numFmtId="190" fontId="13" fillId="0" borderId="7" xfId="1" applyNumberFormat="1" applyFont="1" applyFill="1" applyBorder="1" applyAlignment="1" applyProtection="1">
      <alignment vertical="center"/>
      <protection locked="0" hidden="1"/>
    </xf>
    <xf numFmtId="0" fontId="8" fillId="0" borderId="7" xfId="0" applyFont="1" applyBorder="1" applyProtection="1">
      <alignment vertical="center"/>
      <protection hidden="1"/>
    </xf>
    <xf numFmtId="0" fontId="8" fillId="0" borderId="8" xfId="0" applyFont="1" applyBorder="1" applyAlignment="1" applyProtection="1">
      <alignment horizontal="center" vertical="center"/>
      <protection hidden="1"/>
    </xf>
    <xf numFmtId="0" fontId="9" fillId="0" borderId="8" xfId="0" applyFont="1" applyBorder="1" applyAlignment="1" applyProtection="1">
      <alignment horizontal="left" vertical="center" wrapText="1"/>
      <protection hidden="1"/>
    </xf>
    <xf numFmtId="191" fontId="8" fillId="0" borderId="7" xfId="1" applyNumberFormat="1" applyFont="1" applyFill="1" applyBorder="1" applyAlignment="1" applyProtection="1">
      <alignment vertical="center"/>
      <protection locked="0" hidden="1"/>
    </xf>
    <xf numFmtId="0" fontId="13" fillId="0" borderId="0" xfId="0" applyFont="1" applyProtection="1">
      <alignment vertical="center"/>
      <protection hidden="1"/>
    </xf>
    <xf numFmtId="192" fontId="8" fillId="0" borderId="5" xfId="1" applyNumberFormat="1" applyFont="1" applyFill="1" applyBorder="1" applyAlignment="1" applyProtection="1">
      <alignment vertical="center"/>
      <protection locked="0" hidden="1"/>
    </xf>
    <xf numFmtId="0" fontId="8" fillId="0" borderId="4" xfId="0" quotePrefix="1" applyFont="1" applyBorder="1" applyAlignment="1" applyProtection="1">
      <alignment horizontal="center" vertical="center"/>
      <protection hidden="1"/>
    </xf>
    <xf numFmtId="179" fontId="8" fillId="0" borderId="5" xfId="2" applyNumberFormat="1" applyFont="1" applyFill="1" applyBorder="1" applyAlignment="1" applyProtection="1">
      <alignment vertical="center"/>
      <protection locked="0" hidden="1"/>
    </xf>
    <xf numFmtId="0" fontId="13" fillId="0" borderId="5" xfId="0" applyFont="1" applyBorder="1" applyAlignment="1" applyProtection="1">
      <alignment horizontal="left" vertical="center"/>
      <protection hidden="1"/>
    </xf>
    <xf numFmtId="0" fontId="13" fillId="0" borderId="4" xfId="0" applyFont="1" applyBorder="1" applyAlignment="1" applyProtection="1">
      <alignment horizontal="center" vertical="center"/>
      <protection hidden="1"/>
    </xf>
    <xf numFmtId="0" fontId="14" fillId="0" borderId="4" xfId="0" applyFont="1" applyBorder="1" applyAlignment="1" applyProtection="1">
      <alignment horizontal="left" vertical="center" wrapText="1"/>
      <protection hidden="1"/>
    </xf>
    <xf numFmtId="193" fontId="10" fillId="9" borderId="5" xfId="1" applyNumberFormat="1" applyFont="1" applyFill="1" applyBorder="1" applyAlignment="1" applyProtection="1">
      <alignment vertical="center"/>
      <protection hidden="1"/>
    </xf>
    <xf numFmtId="0" fontId="10" fillId="9" borderId="5" xfId="0" applyFont="1" applyFill="1" applyBorder="1" applyAlignment="1" applyProtection="1">
      <alignment horizontal="center" vertical="center" wrapText="1"/>
      <protection hidden="1"/>
    </xf>
    <xf numFmtId="0" fontId="10" fillId="9" borderId="4" xfId="0" applyFont="1" applyFill="1" applyBorder="1" applyAlignment="1" applyProtection="1">
      <alignment horizontal="center" vertical="center" wrapText="1"/>
      <protection hidden="1"/>
    </xf>
    <xf numFmtId="188" fontId="10" fillId="9" borderId="5" xfId="1" applyNumberFormat="1" applyFont="1" applyFill="1" applyBorder="1" applyAlignment="1" applyProtection="1">
      <alignment vertical="center"/>
      <protection hidden="1"/>
    </xf>
    <xf numFmtId="176" fontId="8" fillId="0" borderId="0" xfId="0" applyNumberFormat="1" applyFont="1" applyProtection="1">
      <alignment vertical="center"/>
      <protection hidden="1"/>
    </xf>
    <xf numFmtId="0" fontId="8" fillId="0" borderId="7" xfId="0" applyFont="1" applyBorder="1" applyAlignment="1" applyProtection="1">
      <alignment horizontal="left" vertical="center"/>
      <protection hidden="1"/>
    </xf>
    <xf numFmtId="0" fontId="14" fillId="0" borderId="4" xfId="0" applyFont="1" applyBorder="1" applyProtection="1">
      <alignment vertical="center"/>
      <protection hidden="1"/>
    </xf>
    <xf numFmtId="0" fontId="14" fillId="0" borderId="4" xfId="0" applyFont="1" applyBorder="1" applyAlignment="1" applyProtection="1">
      <alignment vertical="center" wrapText="1"/>
      <protection hidden="1"/>
    </xf>
    <xf numFmtId="10" fontId="8" fillId="0" borderId="5" xfId="2" applyNumberFormat="1" applyFont="1" applyFill="1" applyBorder="1" applyAlignment="1" applyProtection="1">
      <alignment vertical="center"/>
      <protection locked="0" hidden="1"/>
    </xf>
    <xf numFmtId="0" fontId="11" fillId="9" borderId="5" xfId="0" applyFont="1" applyFill="1" applyBorder="1" applyProtection="1">
      <alignment vertical="center"/>
      <protection hidden="1"/>
    </xf>
    <xf numFmtId="190" fontId="10" fillId="9" borderId="5" xfId="1" applyNumberFormat="1" applyFont="1" applyFill="1" applyBorder="1" applyProtection="1">
      <alignment vertical="center"/>
      <protection hidden="1"/>
    </xf>
    <xf numFmtId="0" fontId="8" fillId="0" borderId="0" xfId="0" applyFont="1" applyAlignment="1" applyProtection="1">
      <alignment horizontal="center" vertical="center" textRotation="255"/>
      <protection hidden="1"/>
    </xf>
    <xf numFmtId="0" fontId="10" fillId="0" borderId="0" xfId="0" applyFont="1" applyProtection="1">
      <alignment vertical="center"/>
      <protection hidden="1"/>
    </xf>
    <xf numFmtId="0" fontId="10" fillId="0" borderId="0" xfId="0" applyFont="1" applyAlignment="1" applyProtection="1">
      <alignment horizontal="center" vertical="center"/>
      <protection hidden="1"/>
    </xf>
    <xf numFmtId="0" fontId="11" fillId="0" borderId="0" xfId="0" applyFont="1" applyProtection="1">
      <alignment vertical="center"/>
      <protection hidden="1"/>
    </xf>
    <xf numFmtId="194" fontId="10" fillId="0" borderId="0" xfId="2" applyNumberFormat="1" applyFont="1" applyFill="1" applyBorder="1" applyProtection="1">
      <alignment vertical="center"/>
      <protection hidden="1"/>
    </xf>
    <xf numFmtId="180" fontId="12" fillId="2" borderId="5" xfId="0" applyNumberFormat="1" applyFont="1" applyFill="1" applyBorder="1" applyAlignment="1" applyProtection="1">
      <alignment horizontal="center" vertical="center"/>
      <protection hidden="1"/>
    </xf>
    <xf numFmtId="181" fontId="8" fillId="0" borderId="5" xfId="1" applyNumberFormat="1" applyFont="1" applyFill="1" applyBorder="1" applyAlignment="1" applyProtection="1">
      <alignment vertical="center"/>
      <protection locked="0" hidden="1"/>
    </xf>
    <xf numFmtId="176" fontId="8" fillId="0" borderId="5" xfId="1" applyNumberFormat="1" applyFont="1" applyFill="1" applyBorder="1" applyAlignment="1" applyProtection="1">
      <alignment vertical="center"/>
      <protection locked="0" hidden="1"/>
    </xf>
    <xf numFmtId="182" fontId="10" fillId="9" borderId="5" xfId="1" applyNumberFormat="1" applyFont="1" applyFill="1" applyBorder="1" applyAlignment="1" applyProtection="1">
      <alignment vertical="center"/>
      <protection hidden="1"/>
    </xf>
    <xf numFmtId="182" fontId="8" fillId="0" borderId="5" xfId="1" applyNumberFormat="1" applyFont="1" applyFill="1" applyBorder="1" applyAlignment="1" applyProtection="1">
      <alignment vertical="center"/>
      <protection locked="0" hidden="1"/>
    </xf>
    <xf numFmtId="183" fontId="8" fillId="0" borderId="5" xfId="1" applyNumberFormat="1" applyFont="1" applyFill="1" applyBorder="1" applyAlignment="1" applyProtection="1">
      <alignment vertical="center"/>
      <protection locked="0" hidden="1"/>
    </xf>
    <xf numFmtId="177" fontId="8" fillId="0" borderId="5" xfId="1" applyNumberFormat="1" applyFont="1" applyFill="1" applyBorder="1" applyAlignment="1" applyProtection="1">
      <alignment vertical="center"/>
      <protection locked="0" hidden="1"/>
    </xf>
    <xf numFmtId="195" fontId="8" fillId="0" borderId="5" xfId="1" applyNumberFormat="1" applyFont="1" applyFill="1" applyBorder="1" applyAlignment="1" applyProtection="1">
      <alignment vertical="center"/>
      <protection locked="0" hidden="1"/>
    </xf>
    <xf numFmtId="176" fontId="8" fillId="0" borderId="5" xfId="0" applyNumberFormat="1" applyFont="1" applyBorder="1" applyProtection="1">
      <alignment vertical="center"/>
      <protection hidden="1"/>
    </xf>
    <xf numFmtId="176" fontId="8" fillId="0" borderId="5" xfId="0" applyNumberFormat="1" applyFont="1" applyBorder="1" applyAlignment="1" applyProtection="1">
      <alignment horizontal="center" vertical="center"/>
      <protection hidden="1"/>
    </xf>
    <xf numFmtId="176" fontId="9" fillId="0" borderId="5" xfId="0" applyNumberFormat="1" applyFont="1" applyBorder="1" applyAlignment="1" applyProtection="1">
      <alignment horizontal="left" vertical="center" wrapText="1"/>
      <protection hidden="1"/>
    </xf>
    <xf numFmtId="186" fontId="8" fillId="0" borderId="5" xfId="0" applyNumberFormat="1" applyFont="1" applyBorder="1" applyProtection="1">
      <alignment vertical="center"/>
      <protection hidden="1"/>
    </xf>
    <xf numFmtId="186" fontId="8" fillId="0" borderId="5" xfId="0" applyNumberFormat="1" applyFont="1" applyBorder="1" applyAlignment="1" applyProtection="1">
      <alignment horizontal="center" vertical="center"/>
      <protection hidden="1"/>
    </xf>
    <xf numFmtId="186" fontId="9" fillId="0" borderId="5" xfId="0" applyNumberFormat="1" applyFont="1" applyBorder="1" applyAlignment="1" applyProtection="1">
      <alignment horizontal="left" vertical="center" wrapText="1"/>
      <protection hidden="1"/>
    </xf>
    <xf numFmtId="196" fontId="8" fillId="0" borderId="5" xfId="1" applyNumberFormat="1" applyFont="1" applyFill="1" applyBorder="1" applyAlignment="1" applyProtection="1">
      <alignment vertical="center"/>
      <protection locked="0" hidden="1"/>
    </xf>
    <xf numFmtId="186" fontId="8" fillId="0" borderId="0" xfId="0" applyNumberFormat="1" applyFont="1" applyProtection="1">
      <alignment vertical="center"/>
      <protection hidden="1"/>
    </xf>
    <xf numFmtId="177" fontId="10" fillId="9" borderId="5" xfId="0" applyNumberFormat="1" applyFont="1" applyFill="1" applyBorder="1" applyAlignment="1" applyProtection="1">
      <alignment horizontal="center" vertical="center"/>
      <protection hidden="1"/>
    </xf>
    <xf numFmtId="177" fontId="8" fillId="0" borderId="0" xfId="0" applyNumberFormat="1" applyFont="1" applyProtection="1">
      <alignment vertical="center"/>
      <protection hidden="1"/>
    </xf>
    <xf numFmtId="177" fontId="15" fillId="0" borderId="5" xfId="0" applyNumberFormat="1" applyFont="1" applyBorder="1" applyAlignment="1" applyProtection="1">
      <alignment horizontal="center" vertical="center" textRotation="255" shrinkToFit="1"/>
      <protection hidden="1"/>
    </xf>
    <xf numFmtId="185" fontId="8" fillId="0" borderId="0" xfId="0" applyNumberFormat="1" applyFont="1" applyAlignment="1" applyProtection="1">
      <alignment horizontal="left" vertical="center" indent="2"/>
      <protection hidden="1"/>
    </xf>
    <xf numFmtId="185" fontId="8" fillId="0" borderId="0" xfId="0" applyNumberFormat="1" applyFont="1" applyProtection="1">
      <alignment vertical="center"/>
      <protection hidden="1"/>
    </xf>
    <xf numFmtId="185" fontId="7" fillId="11" borderId="0" xfId="0" applyNumberFormat="1" applyFont="1" applyFill="1" applyAlignment="1" applyProtection="1">
      <alignment horizontal="left" vertical="center"/>
      <protection hidden="1"/>
    </xf>
    <xf numFmtId="185" fontId="8" fillId="11" borderId="0" xfId="0" applyNumberFormat="1" applyFont="1" applyFill="1" applyProtection="1">
      <alignment vertical="center"/>
      <protection hidden="1"/>
    </xf>
    <xf numFmtId="0" fontId="10" fillId="9" borderId="5" xfId="0" applyFont="1" applyFill="1" applyBorder="1" applyAlignment="1" applyProtection="1">
      <alignment horizontal="left" vertical="center"/>
      <protection hidden="1"/>
    </xf>
    <xf numFmtId="0" fontId="8" fillId="0" borderId="7" xfId="0" applyFont="1" applyBorder="1" applyAlignment="1" applyProtection="1">
      <alignment horizontal="center" vertical="center"/>
      <protection hidden="1"/>
    </xf>
    <xf numFmtId="0" fontId="9" fillId="0" borderId="7" xfId="0" applyFont="1" applyBorder="1" applyAlignment="1" applyProtection="1">
      <alignment horizontal="left" vertical="center" wrapText="1"/>
      <protection hidden="1"/>
    </xf>
    <xf numFmtId="176" fontId="8" fillId="0" borderId="7" xfId="1" applyNumberFormat="1" applyFont="1" applyFill="1" applyBorder="1" applyAlignment="1" applyProtection="1">
      <alignment vertical="center"/>
      <protection locked="0" hidden="1"/>
    </xf>
    <xf numFmtId="178" fontId="8" fillId="0" borderId="5" xfId="1" applyNumberFormat="1" applyFont="1" applyFill="1" applyBorder="1" applyAlignment="1" applyProtection="1">
      <alignment vertical="center"/>
      <protection locked="0" hidden="1"/>
    </xf>
    <xf numFmtId="0" fontId="11" fillId="9" borderId="5" xfId="0" applyFont="1" applyFill="1" applyBorder="1" applyAlignment="1" applyProtection="1">
      <alignment horizontal="left" vertical="center" wrapText="1"/>
      <protection hidden="1"/>
    </xf>
    <xf numFmtId="197" fontId="10" fillId="9" borderId="5" xfId="1" applyNumberFormat="1" applyFont="1" applyFill="1" applyBorder="1" applyAlignment="1" applyProtection="1">
      <alignment vertical="center"/>
      <protection hidden="1"/>
    </xf>
    <xf numFmtId="177" fontId="10" fillId="9" borderId="5" xfId="0" applyNumberFormat="1" applyFont="1" applyFill="1" applyBorder="1" applyProtection="1">
      <alignment vertical="center"/>
      <protection hidden="1"/>
    </xf>
    <xf numFmtId="0" fontId="8" fillId="0" borderId="0" xfId="0" applyFont="1" applyAlignment="1" applyProtection="1">
      <alignment horizontal="center" vertical="center"/>
      <protection hidden="1"/>
    </xf>
    <xf numFmtId="0" fontId="9" fillId="0" borderId="0" xfId="0" applyFont="1" applyProtection="1">
      <alignment vertical="center"/>
      <protection hidden="1"/>
    </xf>
    <xf numFmtId="0" fontId="13" fillId="6" borderId="5" xfId="0" applyFont="1" applyFill="1" applyBorder="1" applyProtection="1">
      <alignment vertical="center"/>
      <protection hidden="1"/>
    </xf>
    <xf numFmtId="0" fontId="13" fillId="6" borderId="5" xfId="0" applyFont="1" applyFill="1" applyBorder="1" applyAlignment="1" applyProtection="1">
      <alignment horizontal="center" vertical="center"/>
      <protection hidden="1"/>
    </xf>
    <xf numFmtId="190" fontId="13" fillId="6" borderId="5" xfId="1" applyNumberFormat="1" applyFont="1" applyFill="1" applyBorder="1" applyProtection="1">
      <alignment vertical="center"/>
      <protection hidden="1"/>
    </xf>
    <xf numFmtId="190" fontId="13" fillId="6" borderId="5" xfId="1" applyNumberFormat="1" applyFont="1" applyFill="1" applyBorder="1" applyAlignment="1" applyProtection="1">
      <alignment vertical="center"/>
      <protection hidden="1"/>
    </xf>
    <xf numFmtId="177" fontId="13" fillId="2" borderId="5" xfId="0" applyNumberFormat="1" applyFont="1" applyFill="1" applyBorder="1" applyProtection="1">
      <alignment vertical="center"/>
      <protection hidden="1"/>
    </xf>
    <xf numFmtId="177" fontId="13" fillId="2" borderId="5" xfId="0" applyNumberFormat="1" applyFont="1" applyFill="1" applyBorder="1" applyAlignment="1" applyProtection="1">
      <alignment horizontal="center" vertical="center"/>
      <protection hidden="1"/>
    </xf>
    <xf numFmtId="38" fontId="13" fillId="2" borderId="5" xfId="1" applyFont="1" applyFill="1" applyBorder="1" applyAlignment="1" applyProtection="1">
      <alignment horizontal="right" vertical="center"/>
      <protection hidden="1"/>
    </xf>
    <xf numFmtId="199" fontId="13" fillId="2" borderId="5" xfId="0" applyNumberFormat="1" applyFont="1" applyFill="1" applyBorder="1" applyAlignment="1" applyProtection="1">
      <alignment horizontal="right" vertical="center" wrapText="1"/>
      <protection hidden="1"/>
    </xf>
    <xf numFmtId="0" fontId="13" fillId="9" borderId="5" xfId="0" applyFont="1" applyFill="1" applyBorder="1" applyProtection="1">
      <alignment vertical="center"/>
      <protection hidden="1"/>
    </xf>
    <xf numFmtId="0" fontId="13" fillId="9" borderId="5" xfId="0" applyFont="1" applyFill="1" applyBorder="1" applyAlignment="1" applyProtection="1">
      <alignment horizontal="center" vertical="center"/>
      <protection hidden="1"/>
    </xf>
    <xf numFmtId="0" fontId="16" fillId="9" borderId="5" xfId="0" applyFont="1" applyFill="1" applyBorder="1" applyProtection="1">
      <alignment vertical="center"/>
      <protection hidden="1"/>
    </xf>
    <xf numFmtId="190" fontId="13" fillId="9" borderId="5" xfId="1" applyNumberFormat="1" applyFont="1" applyFill="1" applyBorder="1" applyProtection="1">
      <alignment vertical="center"/>
      <protection hidden="1"/>
    </xf>
    <xf numFmtId="177" fontId="13" fillId="9" borderId="5" xfId="0" applyNumberFormat="1" applyFont="1" applyFill="1" applyBorder="1" applyProtection="1">
      <alignment vertical="center"/>
      <protection hidden="1"/>
    </xf>
    <xf numFmtId="177" fontId="13" fillId="9" borderId="5" xfId="0" applyNumberFormat="1" applyFont="1" applyFill="1" applyBorder="1" applyAlignment="1" applyProtection="1">
      <alignment horizontal="center" vertical="center"/>
      <protection hidden="1"/>
    </xf>
    <xf numFmtId="200" fontId="13" fillId="9" borderId="5" xfId="1" applyNumberFormat="1" applyFont="1" applyFill="1" applyBorder="1" applyProtection="1">
      <alignment vertical="center"/>
      <protection hidden="1"/>
    </xf>
    <xf numFmtId="177" fontId="13" fillId="0" borderId="0" xfId="0" applyNumberFormat="1" applyFont="1" applyProtection="1">
      <alignment vertical="center"/>
      <protection hidden="1"/>
    </xf>
    <xf numFmtId="177" fontId="13" fillId="0" borderId="0" xfId="0" applyNumberFormat="1" applyFont="1" applyAlignment="1" applyProtection="1">
      <alignment horizontal="center" vertical="center"/>
      <protection hidden="1"/>
    </xf>
    <xf numFmtId="38" fontId="13" fillId="0" borderId="0" xfId="1" applyFont="1" applyFill="1" applyBorder="1" applyAlignment="1" applyProtection="1">
      <alignment horizontal="right" vertical="center"/>
      <protection hidden="1"/>
    </xf>
    <xf numFmtId="200" fontId="13" fillId="0" borderId="0" xfId="1" applyNumberFormat="1" applyFont="1" applyFill="1" applyBorder="1" applyProtection="1">
      <alignment vertical="center"/>
      <protection hidden="1"/>
    </xf>
    <xf numFmtId="0" fontId="16" fillId="6" borderId="5" xfId="0" applyFont="1" applyFill="1" applyBorder="1" applyProtection="1">
      <alignment vertical="center"/>
      <protection hidden="1"/>
    </xf>
    <xf numFmtId="177" fontId="13" fillId="6" borderId="5" xfId="0" applyNumberFormat="1" applyFont="1" applyFill="1" applyBorder="1" applyProtection="1">
      <alignment vertical="center"/>
      <protection hidden="1"/>
    </xf>
    <xf numFmtId="177" fontId="13" fillId="6" borderId="5" xfId="0" applyNumberFormat="1" applyFont="1" applyFill="1" applyBorder="1" applyAlignment="1" applyProtection="1">
      <alignment horizontal="center" vertical="center"/>
      <protection hidden="1"/>
    </xf>
    <xf numFmtId="200" fontId="13" fillId="6" borderId="5" xfId="1" applyNumberFormat="1" applyFont="1" applyFill="1" applyBorder="1" applyProtection="1">
      <alignment vertical="center"/>
      <protection hidden="1"/>
    </xf>
    <xf numFmtId="201" fontId="13" fillId="0" borderId="5" xfId="1" applyNumberFormat="1" applyFont="1" applyFill="1" applyBorder="1" applyAlignment="1" applyProtection="1">
      <alignment vertical="center"/>
      <protection locked="0" hidden="1"/>
    </xf>
    <xf numFmtId="0" fontId="17" fillId="0" borderId="0" xfId="0" applyFont="1" applyProtection="1">
      <alignment vertical="center"/>
      <protection hidden="1"/>
    </xf>
    <xf numFmtId="0" fontId="17" fillId="0" borderId="0" xfId="0" applyFont="1" applyAlignment="1" applyProtection="1">
      <alignment horizontal="center" vertical="center"/>
      <protection hidden="1"/>
    </xf>
    <xf numFmtId="0" fontId="18" fillId="0" borderId="0" xfId="0" applyFont="1" applyProtection="1">
      <alignment vertical="center"/>
      <protection hidden="1"/>
    </xf>
    <xf numFmtId="38" fontId="8" fillId="0" borderId="0" xfId="0" applyNumberFormat="1" applyFont="1" applyProtection="1">
      <alignment vertical="center"/>
      <protection hidden="1"/>
    </xf>
    <xf numFmtId="184" fontId="19" fillId="7" borderId="0" xfId="0" applyNumberFormat="1" applyFont="1" applyFill="1" applyAlignment="1">
      <alignment horizontal="center" vertical="center"/>
    </xf>
    <xf numFmtId="0" fontId="4" fillId="3" borderId="5" xfId="0" applyFont="1" applyFill="1" applyBorder="1" applyAlignment="1">
      <alignment horizontal="center" vertical="center"/>
    </xf>
    <xf numFmtId="38" fontId="5" fillId="3" borderId="5" xfId="1" applyFont="1" applyFill="1" applyBorder="1" applyAlignment="1">
      <alignment horizontal="center" vertical="center"/>
    </xf>
    <xf numFmtId="0" fontId="4" fillId="3" borderId="5" xfId="0" applyFont="1" applyFill="1" applyBorder="1" applyAlignment="1">
      <alignment horizontal="right" vertical="center"/>
    </xf>
    <xf numFmtId="177" fontId="5" fillId="12" borderId="5" xfId="1" applyNumberFormat="1" applyFont="1" applyFill="1" applyBorder="1" applyAlignment="1" applyProtection="1">
      <alignment horizontal="center" vertical="center"/>
      <protection locked="0"/>
    </xf>
    <xf numFmtId="0" fontId="4" fillId="5" borderId="5" xfId="0" applyFont="1" applyFill="1" applyBorder="1">
      <alignment vertical="center"/>
    </xf>
    <xf numFmtId="38" fontId="6" fillId="5" borderId="5" xfId="1" applyFont="1" applyFill="1" applyBorder="1" applyAlignment="1">
      <alignment vertical="center"/>
    </xf>
    <xf numFmtId="0" fontId="4" fillId="6" borderId="5" xfId="0" applyFont="1" applyFill="1" applyBorder="1">
      <alignment vertical="center"/>
    </xf>
    <xf numFmtId="38" fontId="6" fillId="6" borderId="5" xfId="1" applyFont="1" applyFill="1" applyBorder="1" applyAlignment="1">
      <alignment vertical="center"/>
    </xf>
    <xf numFmtId="0" fontId="4" fillId="7" borderId="5" xfId="0" quotePrefix="1" applyFont="1" applyFill="1" applyBorder="1" applyAlignment="1">
      <alignment horizontal="left" vertical="center" indent="2"/>
    </xf>
    <xf numFmtId="0" fontId="4" fillId="7" borderId="5" xfId="0" quotePrefix="1" applyFont="1" applyFill="1" applyBorder="1">
      <alignment vertical="center"/>
    </xf>
    <xf numFmtId="38" fontId="6" fillId="7" borderId="5" xfId="1" applyFont="1" applyFill="1" applyBorder="1" applyAlignment="1">
      <alignment vertical="center"/>
    </xf>
    <xf numFmtId="0" fontId="4" fillId="2" borderId="5" xfId="0" applyFont="1" applyFill="1" applyBorder="1" applyAlignment="1">
      <alignment horizontal="left" vertical="center" indent="2"/>
    </xf>
    <xf numFmtId="0" fontId="0" fillId="2" borderId="5" xfId="0" applyFill="1" applyBorder="1">
      <alignment vertical="center"/>
    </xf>
    <xf numFmtId="38" fontId="6" fillId="12" borderId="5" xfId="1" applyFont="1" applyFill="1" applyBorder="1" applyAlignment="1" applyProtection="1">
      <alignment vertical="center"/>
      <protection locked="0"/>
    </xf>
    <xf numFmtId="0" fontId="4" fillId="5" borderId="7" xfId="0" applyFont="1" applyFill="1" applyBorder="1">
      <alignment vertical="center"/>
    </xf>
    <xf numFmtId="38" fontId="6" fillId="5" borderId="7" xfId="1" applyFont="1" applyFill="1" applyBorder="1" applyAlignment="1">
      <alignment vertical="center"/>
    </xf>
    <xf numFmtId="0" fontId="4" fillId="6" borderId="7" xfId="0" applyFont="1" applyFill="1" applyBorder="1">
      <alignment vertical="center"/>
    </xf>
    <xf numFmtId="38" fontId="6" fillId="6" borderId="7" xfId="1" applyFont="1" applyFill="1" applyBorder="1" applyAlignment="1">
      <alignment vertical="center"/>
    </xf>
    <xf numFmtId="38" fontId="6" fillId="4" borderId="7" xfId="1" applyFont="1" applyFill="1" applyBorder="1" applyAlignment="1">
      <alignment vertical="center"/>
    </xf>
    <xf numFmtId="0" fontId="4" fillId="5" borderId="9" xfId="0" applyFont="1" applyFill="1" applyBorder="1">
      <alignment vertical="center"/>
    </xf>
    <xf numFmtId="38" fontId="6" fillId="5" borderId="9" xfId="1" applyFont="1" applyFill="1" applyBorder="1" applyAlignment="1">
      <alignment vertical="center"/>
    </xf>
    <xf numFmtId="0" fontId="4" fillId="6" borderId="9" xfId="0" applyFont="1" applyFill="1" applyBorder="1">
      <alignment vertical="center"/>
    </xf>
    <xf numFmtId="38" fontId="6" fillId="6" borderId="9" xfId="1" applyFont="1" applyFill="1" applyBorder="1" applyAlignment="1">
      <alignment vertical="center"/>
    </xf>
    <xf numFmtId="0" fontId="4" fillId="6" borderId="9" xfId="0" applyFont="1" applyFill="1" applyBorder="1" applyAlignment="1">
      <alignment horizontal="left" vertical="center" indent="2"/>
    </xf>
    <xf numFmtId="0" fontId="0" fillId="6" borderId="9" xfId="0" applyFill="1" applyBorder="1">
      <alignment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5" xfId="0" applyBorder="1">
      <alignment vertical="center"/>
    </xf>
    <xf numFmtId="0" fontId="0" fillId="13" borderId="5" xfId="0" applyFill="1" applyBorder="1" applyAlignment="1">
      <alignment horizontal="center" vertical="center"/>
    </xf>
    <xf numFmtId="0" fontId="0" fillId="13" borderId="5" xfId="0" applyFill="1" applyBorder="1">
      <alignment vertical="center"/>
    </xf>
    <xf numFmtId="0" fontId="0" fillId="4" borderId="5" xfId="0" applyFill="1" applyBorder="1" applyAlignment="1">
      <alignment horizontal="center" vertical="center"/>
    </xf>
    <xf numFmtId="0" fontId="0" fillId="4" borderId="5" xfId="0" applyFill="1" applyBorder="1">
      <alignment vertical="center"/>
    </xf>
    <xf numFmtId="202" fontId="0" fillId="4" borderId="5" xfId="0" applyNumberFormat="1" applyFill="1" applyBorder="1" applyAlignment="1">
      <alignment horizontal="center" vertical="center"/>
    </xf>
    <xf numFmtId="0" fontId="0" fillId="4" borderId="5" xfId="0" applyFill="1" applyBorder="1" applyAlignment="1">
      <alignment horizontal="center" vertical="center" wrapText="1"/>
    </xf>
    <xf numFmtId="188" fontId="0" fillId="4" borderId="5" xfId="0" applyNumberFormat="1" applyFill="1" applyBorder="1" applyAlignment="1">
      <alignment horizontal="center" vertical="center"/>
    </xf>
    <xf numFmtId="0" fontId="0" fillId="7" borderId="5" xfId="0" applyFill="1" applyBorder="1" applyAlignment="1">
      <alignment horizontal="center" vertical="center"/>
    </xf>
    <xf numFmtId="198" fontId="0" fillId="7" borderId="5" xfId="0" applyNumberFormat="1" applyFill="1" applyBorder="1" applyAlignment="1">
      <alignment horizontal="center" vertical="center"/>
    </xf>
    <xf numFmtId="9" fontId="0" fillId="7" borderId="5" xfId="2" applyFont="1" applyFill="1" applyBorder="1" applyAlignment="1">
      <alignment horizontal="center" vertical="center"/>
    </xf>
    <xf numFmtId="0" fontId="0" fillId="7" borderId="5" xfId="0" applyFill="1" applyBorder="1" applyAlignment="1">
      <alignment horizontal="center" vertical="center" wrapText="1"/>
    </xf>
    <xf numFmtId="179" fontId="6" fillId="5" borderId="5" xfId="2" applyNumberFormat="1" applyFont="1" applyFill="1" applyBorder="1" applyAlignment="1">
      <alignment vertical="center"/>
    </xf>
    <xf numFmtId="179" fontId="6" fillId="6" borderId="5" xfId="2" applyNumberFormat="1" applyFont="1" applyFill="1" applyBorder="1" applyAlignment="1">
      <alignment vertical="center"/>
    </xf>
    <xf numFmtId="179" fontId="6" fillId="7" borderId="5" xfId="2" applyNumberFormat="1" applyFont="1" applyFill="1" applyBorder="1" applyAlignment="1">
      <alignment vertical="center"/>
    </xf>
    <xf numFmtId="179" fontId="6" fillId="12" borderId="5" xfId="2" applyNumberFormat="1" applyFont="1" applyFill="1" applyBorder="1" applyAlignment="1" applyProtection="1">
      <alignment vertical="center"/>
      <protection locked="0"/>
    </xf>
    <xf numFmtId="179" fontId="6" fillId="5" borderId="7" xfId="2" applyNumberFormat="1" applyFont="1" applyFill="1" applyBorder="1" applyAlignment="1">
      <alignment vertical="center"/>
    </xf>
    <xf numFmtId="179" fontId="6" fillId="6" borderId="7" xfId="2" applyNumberFormat="1" applyFont="1" applyFill="1" applyBorder="1" applyAlignment="1">
      <alignment vertical="center"/>
    </xf>
    <xf numFmtId="179" fontId="6" fillId="4" borderId="7" xfId="2" applyNumberFormat="1" applyFont="1" applyFill="1" applyBorder="1" applyAlignment="1">
      <alignment vertical="center"/>
    </xf>
    <xf numFmtId="179" fontId="6" fillId="5" borderId="9" xfId="2" applyNumberFormat="1" applyFont="1" applyFill="1" applyBorder="1" applyAlignment="1">
      <alignment vertical="center"/>
    </xf>
    <xf numFmtId="179" fontId="6" fillId="6" borderId="9" xfId="2" applyNumberFormat="1" applyFont="1" applyFill="1" applyBorder="1" applyAlignment="1">
      <alignment vertical="center"/>
    </xf>
    <xf numFmtId="188" fontId="0" fillId="0" borderId="5" xfId="0" applyNumberFormat="1" applyBorder="1" applyAlignment="1" applyProtection="1">
      <alignment horizontal="center" vertical="center"/>
      <protection locked="0"/>
    </xf>
    <xf numFmtId="203" fontId="0" fillId="0" borderId="5" xfId="0" applyNumberFormat="1" applyBorder="1" applyAlignment="1" applyProtection="1">
      <alignment horizontal="center" vertical="center"/>
      <protection locked="0"/>
    </xf>
    <xf numFmtId="188" fontId="0" fillId="0" borderId="5" xfId="0" applyNumberFormat="1" applyBorder="1" applyProtection="1">
      <alignment vertical="center"/>
      <protection locked="0"/>
    </xf>
    <xf numFmtId="38" fontId="8" fillId="0" borderId="0" xfId="1" applyFont="1" applyProtection="1">
      <alignment vertical="center"/>
      <protection hidden="1"/>
    </xf>
    <xf numFmtId="0" fontId="15" fillId="0" borderId="5" xfId="0" applyFont="1" applyBorder="1" applyAlignment="1" applyProtection="1">
      <alignment horizontal="center" vertical="center" textRotation="255" shrinkToFit="1"/>
      <protection hidden="1"/>
    </xf>
    <xf numFmtId="177" fontId="10" fillId="9" borderId="4" xfId="0" applyNumberFormat="1" applyFont="1" applyFill="1" applyBorder="1" applyAlignment="1" applyProtection="1">
      <alignment horizontal="center" vertical="center"/>
      <protection hidden="1"/>
    </xf>
    <xf numFmtId="177" fontId="10" fillId="9" borderId="1" xfId="0" applyNumberFormat="1" applyFont="1" applyFill="1" applyBorder="1" applyAlignment="1" applyProtection="1">
      <alignment horizontal="center" vertical="center"/>
      <protection hidden="1"/>
    </xf>
    <xf numFmtId="0" fontId="8" fillId="0" borderId="5" xfId="0" applyFont="1" applyBorder="1" applyAlignment="1" applyProtection="1">
      <alignment horizontal="center" vertical="center" textRotation="255"/>
      <protection hidden="1"/>
    </xf>
    <xf numFmtId="0" fontId="15" fillId="0" borderId="6" xfId="0" applyFont="1" applyBorder="1" applyAlignment="1" applyProtection="1">
      <alignment horizontal="center" vertical="center" textRotation="255" shrinkToFit="1"/>
      <protection hidden="1"/>
    </xf>
    <xf numFmtId="0" fontId="15" fillId="0" borderId="2" xfId="0" applyFont="1" applyBorder="1" applyAlignment="1" applyProtection="1">
      <alignment horizontal="center" vertical="center" textRotation="255" shrinkToFit="1"/>
      <protection hidden="1"/>
    </xf>
    <xf numFmtId="0" fontId="15" fillId="0" borderId="7" xfId="0" applyFont="1" applyBorder="1" applyAlignment="1" applyProtection="1">
      <alignment horizontal="center" vertical="center" textRotation="255" shrinkToFit="1"/>
      <protection hidden="1"/>
    </xf>
    <xf numFmtId="0" fontId="8" fillId="0" borderId="6" xfId="0" applyFont="1" applyBorder="1" applyAlignment="1" applyProtection="1">
      <alignment horizontal="center" vertical="center" textRotation="255"/>
      <protection hidden="1"/>
    </xf>
    <xf numFmtId="0" fontId="8" fillId="0" borderId="2" xfId="0" applyFont="1" applyBorder="1" applyAlignment="1" applyProtection="1">
      <alignment horizontal="center" vertical="center" textRotation="255"/>
      <protection hidden="1"/>
    </xf>
    <xf numFmtId="0" fontId="8" fillId="0" borderId="7" xfId="0" applyFont="1" applyBorder="1" applyAlignment="1" applyProtection="1">
      <alignment horizontal="center" vertical="center" textRotation="255"/>
      <protection hidden="1"/>
    </xf>
    <xf numFmtId="0" fontId="10" fillId="9" borderId="4" xfId="0" applyFont="1" applyFill="1" applyBorder="1" applyAlignment="1" applyProtection="1">
      <alignment horizontal="center" vertical="center"/>
      <protection hidden="1"/>
    </xf>
    <xf numFmtId="0" fontId="10" fillId="9" borderId="1" xfId="0" applyFont="1" applyFill="1" applyBorder="1" applyAlignment="1" applyProtection="1">
      <alignment horizontal="center" vertical="center"/>
      <protection hidden="1"/>
    </xf>
    <xf numFmtId="0" fontId="10" fillId="9" borderId="5" xfId="0" applyFont="1" applyFill="1" applyBorder="1" applyAlignment="1" applyProtection="1">
      <alignment horizontal="center" vertical="center"/>
      <protection hidden="1"/>
    </xf>
    <xf numFmtId="0" fontId="8" fillId="2" borderId="4"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protection hidden="1"/>
    </xf>
    <xf numFmtId="0" fontId="7" fillId="8" borderId="3" xfId="0" applyFont="1" applyFill="1" applyBorder="1" applyAlignment="1" applyProtection="1">
      <alignment horizontal="left" vertical="center"/>
      <protection hidden="1"/>
    </xf>
    <xf numFmtId="0" fontId="7" fillId="10" borderId="3" xfId="0" applyFont="1" applyFill="1" applyBorder="1" applyAlignment="1" applyProtection="1">
      <alignment horizontal="left" vertical="center"/>
      <protection hidden="1"/>
    </xf>
    <xf numFmtId="177" fontId="10" fillId="9" borderId="5" xfId="0" applyNumberFormat="1" applyFont="1" applyFill="1" applyBorder="1" applyAlignment="1" applyProtection="1">
      <alignment horizontal="center" vertical="center"/>
      <protection hidden="1"/>
    </xf>
    <xf numFmtId="184" fontId="19" fillId="7" borderId="0" xfId="0" applyNumberFormat="1" applyFont="1" applyFill="1" applyAlignment="1">
      <alignment horizontal="center" vertical="center"/>
    </xf>
    <xf numFmtId="38" fontId="5" fillId="3" borderId="6" xfId="1" applyFont="1" applyFill="1" applyBorder="1" applyAlignment="1">
      <alignment horizontal="center" vertical="center"/>
    </xf>
    <xf numFmtId="38" fontId="5" fillId="3" borderId="7" xfId="1" applyFont="1" applyFill="1" applyBorder="1" applyAlignment="1">
      <alignment horizontal="center" vertical="center"/>
    </xf>
    <xf numFmtId="0" fontId="3" fillId="3" borderId="0" xfId="0" applyFont="1" applyFill="1" applyAlignment="1">
      <alignment horizontal="center" vertical="center"/>
    </xf>
    <xf numFmtId="0" fontId="4" fillId="4" borderId="7" xfId="0" applyFont="1" applyFill="1" applyBorder="1" applyAlignment="1">
      <alignment horizontal="center" vertical="center"/>
    </xf>
    <xf numFmtId="0" fontId="4" fillId="6" borderId="5" xfId="0" applyFont="1" applyFill="1" applyBorder="1" applyAlignment="1">
      <alignment horizontal="center" vertical="center" textRotation="255"/>
    </xf>
    <xf numFmtId="0" fontId="4" fillId="5" borderId="5" xfId="0" applyFont="1" applyFill="1" applyBorder="1" applyAlignment="1">
      <alignment horizontal="center" vertical="center" textRotation="255"/>
    </xf>
    <xf numFmtId="0" fontId="4" fillId="3" borderId="5" xfId="0" applyFont="1" applyFill="1" applyBorder="1" applyAlignment="1">
      <alignment horizontal="center" vertical="center"/>
    </xf>
  </cellXfs>
  <cellStyles count="5">
    <cellStyle name="パーセント" xfId="2" builtinId="5"/>
    <cellStyle name="桁区切り" xfId="1" builtinId="6"/>
    <cellStyle name="桁区切り 2" xfId="4" xr:uid="{00000000-0005-0000-0000-000002000000}"/>
    <cellStyle name="標準" xfId="0" builtinId="0"/>
    <cellStyle name="標準 2" xfId="3" xr:uid="{00000000-0005-0000-0000-000004000000}"/>
  </cellStyles>
  <dxfs count="1">
    <dxf>
      <font>
        <color theme="0" tint="-0.34998626667073579"/>
      </font>
      <fill>
        <patternFill>
          <fgColor auto="1"/>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xdr:col>
      <xdr:colOff>488463</xdr:colOff>
      <xdr:row>2</xdr:row>
      <xdr:rowOff>154680</xdr:rowOff>
    </xdr:from>
    <xdr:to>
      <xdr:col>10</xdr:col>
      <xdr:colOff>504743</xdr:colOff>
      <xdr:row>4</xdr:row>
      <xdr:rowOff>48846</xdr:rowOff>
    </xdr:to>
    <xdr:sp macro="" textlink="">
      <xdr:nvSpPr>
        <xdr:cNvPr id="2" name="テキスト ボックス 1">
          <a:extLst>
            <a:ext uri="{FF2B5EF4-FFF2-40B4-BE49-F238E27FC236}">
              <a16:creationId xmlns:a16="http://schemas.microsoft.com/office/drawing/2014/main" id="{D0F5AE99-2196-30C6-BABF-1A4B9FB100A0}"/>
            </a:ext>
          </a:extLst>
        </xdr:cNvPr>
        <xdr:cNvSpPr txBox="1"/>
      </xdr:nvSpPr>
      <xdr:spPr>
        <a:xfrm>
          <a:off x="6659360" y="732693"/>
          <a:ext cx="2067819" cy="2686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距離を入力します。</a:t>
          </a:r>
        </a:p>
      </xdr:txBody>
    </xdr:sp>
    <xdr:clientData/>
  </xdr:twoCellAnchor>
  <xdr:twoCellAnchor>
    <xdr:from>
      <xdr:col>7</xdr:col>
      <xdr:colOff>40707</xdr:colOff>
      <xdr:row>2</xdr:row>
      <xdr:rowOff>97692</xdr:rowOff>
    </xdr:from>
    <xdr:to>
      <xdr:col>7</xdr:col>
      <xdr:colOff>423335</xdr:colOff>
      <xdr:row>4</xdr:row>
      <xdr:rowOff>81410</xdr:rowOff>
    </xdr:to>
    <xdr:sp macro="" textlink="">
      <xdr:nvSpPr>
        <xdr:cNvPr id="3" name="矢印: 右 2">
          <a:extLst>
            <a:ext uri="{FF2B5EF4-FFF2-40B4-BE49-F238E27FC236}">
              <a16:creationId xmlns:a16="http://schemas.microsoft.com/office/drawing/2014/main" id="{194A419F-7F43-8580-7147-36F71E280926}"/>
            </a:ext>
          </a:extLst>
        </xdr:cNvPr>
        <xdr:cNvSpPr/>
      </xdr:nvSpPr>
      <xdr:spPr>
        <a:xfrm flipH="1">
          <a:off x="6211604" y="675705"/>
          <a:ext cx="382628" cy="35820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512884</xdr:colOff>
      <xdr:row>17</xdr:row>
      <xdr:rowOff>130257</xdr:rowOff>
    </xdr:from>
    <xdr:to>
      <xdr:col>10</xdr:col>
      <xdr:colOff>529164</xdr:colOff>
      <xdr:row>19</xdr:row>
      <xdr:rowOff>24423</xdr:rowOff>
    </xdr:to>
    <xdr:sp macro="" textlink="">
      <xdr:nvSpPr>
        <xdr:cNvPr id="4" name="テキスト ボックス 3">
          <a:extLst>
            <a:ext uri="{FF2B5EF4-FFF2-40B4-BE49-F238E27FC236}">
              <a16:creationId xmlns:a16="http://schemas.microsoft.com/office/drawing/2014/main" id="{FE8C340C-B664-4633-97B1-04D1261ED2BA}"/>
            </a:ext>
          </a:extLst>
        </xdr:cNvPr>
        <xdr:cNvSpPr txBox="1"/>
      </xdr:nvSpPr>
      <xdr:spPr>
        <a:xfrm>
          <a:off x="6683781" y="3516924"/>
          <a:ext cx="2067819" cy="2686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高速道路料金を入力します。</a:t>
          </a:r>
        </a:p>
      </xdr:txBody>
    </xdr:sp>
    <xdr:clientData/>
  </xdr:twoCellAnchor>
  <xdr:twoCellAnchor>
    <xdr:from>
      <xdr:col>7</xdr:col>
      <xdr:colOff>65128</xdr:colOff>
      <xdr:row>17</xdr:row>
      <xdr:rowOff>73269</xdr:rowOff>
    </xdr:from>
    <xdr:to>
      <xdr:col>7</xdr:col>
      <xdr:colOff>447756</xdr:colOff>
      <xdr:row>19</xdr:row>
      <xdr:rowOff>56987</xdr:rowOff>
    </xdr:to>
    <xdr:sp macro="" textlink="">
      <xdr:nvSpPr>
        <xdr:cNvPr id="5" name="矢印: 右 4">
          <a:extLst>
            <a:ext uri="{FF2B5EF4-FFF2-40B4-BE49-F238E27FC236}">
              <a16:creationId xmlns:a16="http://schemas.microsoft.com/office/drawing/2014/main" id="{3618E070-6FBE-4094-9752-E77270F45349}"/>
            </a:ext>
          </a:extLst>
        </xdr:cNvPr>
        <xdr:cNvSpPr/>
      </xdr:nvSpPr>
      <xdr:spPr>
        <a:xfrm flipH="1">
          <a:off x="6236025" y="3459936"/>
          <a:ext cx="382628" cy="35820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FEA32-C275-4CF1-B410-280631130CEA}">
  <sheetPr>
    <tabColor theme="6" tint="0.39997558519241921"/>
  </sheetPr>
  <dimension ref="A1:F94"/>
  <sheetViews>
    <sheetView showGridLines="0" topLeftCell="A7" zoomScaleNormal="100" workbookViewId="0">
      <selection activeCell="E19" sqref="E19"/>
    </sheetView>
  </sheetViews>
  <sheetFormatPr defaultRowHeight="21.75" customHeight="1" x14ac:dyDescent="0.15"/>
  <cols>
    <col min="1" max="1" width="4.5" style="6" customWidth="1"/>
    <col min="2" max="2" width="35.375" style="6" customWidth="1"/>
    <col min="3" max="3" width="6.375" style="88" customWidth="1"/>
    <col min="4" max="4" width="51.25" style="89" customWidth="1"/>
    <col min="5" max="5" width="14.5" style="6" customWidth="1"/>
    <col min="6" max="16384" width="9" style="6"/>
  </cols>
  <sheetData>
    <row r="1" spans="1:5" ht="25.5" customHeight="1" x14ac:dyDescent="0.15">
      <c r="A1" s="186" t="s">
        <v>14</v>
      </c>
      <c r="B1" s="186"/>
      <c r="C1" s="186"/>
      <c r="D1" s="186"/>
      <c r="E1" s="5"/>
    </row>
    <row r="2" spans="1:5" ht="25.5" customHeight="1" x14ac:dyDescent="0.15">
      <c r="A2" s="184" t="s">
        <v>15</v>
      </c>
      <c r="B2" s="185"/>
      <c r="C2" s="7" t="s">
        <v>16</v>
      </c>
      <c r="D2" s="8" t="s">
        <v>17</v>
      </c>
      <c r="E2" s="9"/>
    </row>
    <row r="3" spans="1:5" ht="25.5" customHeight="1" x14ac:dyDescent="0.15">
      <c r="A3" s="174" t="s">
        <v>18</v>
      </c>
      <c r="B3" s="11" t="s">
        <v>19</v>
      </c>
      <c r="C3" s="12" t="s">
        <v>20</v>
      </c>
      <c r="D3" s="13" t="s">
        <v>21</v>
      </c>
      <c r="E3" s="14" t="s">
        <v>188</v>
      </c>
    </row>
    <row r="4" spans="1:5" ht="25.5" customHeight="1" x14ac:dyDescent="0.15">
      <c r="A4" s="174"/>
      <c r="B4" s="11" t="s">
        <v>22</v>
      </c>
      <c r="C4" s="12" t="s">
        <v>20</v>
      </c>
      <c r="D4" s="13" t="s">
        <v>23</v>
      </c>
      <c r="E4" s="15" t="s">
        <v>189</v>
      </c>
    </row>
    <row r="5" spans="1:5" ht="25.5" customHeight="1" x14ac:dyDescent="0.15">
      <c r="A5" s="174"/>
      <c r="B5" s="11" t="s">
        <v>24</v>
      </c>
      <c r="C5" s="12" t="s">
        <v>25</v>
      </c>
      <c r="D5" s="13" t="s">
        <v>26</v>
      </c>
      <c r="E5" s="16" t="s">
        <v>190</v>
      </c>
    </row>
    <row r="6" spans="1:5" ht="25.5" customHeight="1" x14ac:dyDescent="0.15">
      <c r="A6" s="174"/>
      <c r="B6" s="11" t="s">
        <v>27</v>
      </c>
      <c r="C6" s="12" t="s">
        <v>28</v>
      </c>
      <c r="D6" s="13" t="s">
        <v>29</v>
      </c>
      <c r="E6" s="17">
        <v>12</v>
      </c>
    </row>
    <row r="7" spans="1:5" ht="25.5" customHeight="1" x14ac:dyDescent="0.15">
      <c r="A7" s="174"/>
      <c r="B7" s="11" t="s">
        <v>30</v>
      </c>
      <c r="C7" s="12" t="s">
        <v>28</v>
      </c>
      <c r="D7" s="13" t="s">
        <v>31</v>
      </c>
      <c r="E7" s="17">
        <v>20</v>
      </c>
    </row>
    <row r="8" spans="1:5" ht="25.5" customHeight="1" x14ac:dyDescent="0.15">
      <c r="A8" s="178" t="s">
        <v>0</v>
      </c>
      <c r="B8" s="11" t="s">
        <v>32</v>
      </c>
      <c r="C8" s="18" t="s">
        <v>33</v>
      </c>
      <c r="D8" s="19" t="s">
        <v>34</v>
      </c>
      <c r="E8" s="20">
        <v>20000000</v>
      </c>
    </row>
    <row r="9" spans="1:5" ht="25.5" customHeight="1" x14ac:dyDescent="0.15">
      <c r="A9" s="179"/>
      <c r="B9" s="11" t="s">
        <v>35</v>
      </c>
      <c r="C9" s="18" t="s">
        <v>33</v>
      </c>
      <c r="D9" s="19" t="s">
        <v>36</v>
      </c>
      <c r="E9" s="20">
        <v>500000</v>
      </c>
    </row>
    <row r="10" spans="1:5" ht="25.5" customHeight="1" x14ac:dyDescent="0.15">
      <c r="A10" s="179"/>
      <c r="B10" s="11" t="s">
        <v>37</v>
      </c>
      <c r="C10" s="18" t="s">
        <v>38</v>
      </c>
      <c r="D10" s="19" t="s">
        <v>39</v>
      </c>
      <c r="E10" s="21">
        <v>8</v>
      </c>
    </row>
    <row r="11" spans="1:5" ht="25.5" customHeight="1" x14ac:dyDescent="0.15">
      <c r="A11" s="180"/>
      <c r="B11" s="22" t="s">
        <v>40</v>
      </c>
      <c r="C11" s="23" t="s">
        <v>33</v>
      </c>
      <c r="D11" s="24" t="s">
        <v>41</v>
      </c>
      <c r="E11" s="25">
        <f>IFERROR(ROUNDUP((E8+E9-1)/E10,0),0)</f>
        <v>2562500</v>
      </c>
    </row>
    <row r="12" spans="1:5" ht="48" customHeight="1" x14ac:dyDescent="0.15">
      <c r="A12" s="178" t="s">
        <v>42</v>
      </c>
      <c r="B12" s="26" t="s">
        <v>43</v>
      </c>
      <c r="C12" s="27" t="s">
        <v>33</v>
      </c>
      <c r="D12" s="28" t="s">
        <v>44</v>
      </c>
      <c r="E12" s="29">
        <v>2000</v>
      </c>
    </row>
    <row r="13" spans="1:5" s="34" customFormat="1" ht="25.5" customHeight="1" x14ac:dyDescent="0.15">
      <c r="A13" s="179"/>
      <c r="B13" s="30" t="s">
        <v>45</v>
      </c>
      <c r="C13" s="31" t="s">
        <v>46</v>
      </c>
      <c r="D13" s="32" t="s">
        <v>47</v>
      </c>
      <c r="E13" s="33">
        <v>8</v>
      </c>
    </row>
    <row r="14" spans="1:5" s="34" customFormat="1" ht="25.5" customHeight="1" x14ac:dyDescent="0.15">
      <c r="A14" s="179"/>
      <c r="B14" s="11" t="s">
        <v>48</v>
      </c>
      <c r="C14" s="18" t="s">
        <v>49</v>
      </c>
      <c r="D14" s="19" t="s">
        <v>50</v>
      </c>
      <c r="E14" s="35">
        <v>260</v>
      </c>
    </row>
    <row r="15" spans="1:5" ht="25.5" customHeight="1" x14ac:dyDescent="0.15">
      <c r="A15" s="179"/>
      <c r="B15" s="11" t="s">
        <v>51</v>
      </c>
      <c r="C15" s="36" t="s">
        <v>52</v>
      </c>
      <c r="D15" s="19" t="s">
        <v>53</v>
      </c>
      <c r="E15" s="37">
        <v>0.2</v>
      </c>
    </row>
    <row r="16" spans="1:5" ht="25.5" customHeight="1" x14ac:dyDescent="0.15">
      <c r="A16" s="179"/>
      <c r="B16" s="38" t="s">
        <v>54</v>
      </c>
      <c r="C16" s="39" t="s">
        <v>55</v>
      </c>
      <c r="D16" s="40" t="s">
        <v>56</v>
      </c>
      <c r="E16" s="113">
        <v>1.25</v>
      </c>
    </row>
    <row r="17" spans="1:6" ht="25.5" customHeight="1" x14ac:dyDescent="0.15">
      <c r="A17" s="179"/>
      <c r="B17" s="22" t="s">
        <v>57</v>
      </c>
      <c r="C17" s="23" t="s">
        <v>46</v>
      </c>
      <c r="D17" s="24" t="s">
        <v>58</v>
      </c>
      <c r="E17" s="41">
        <f>ROUNDUP(E13*E14,0)</f>
        <v>2080</v>
      </c>
    </row>
    <row r="18" spans="1:6" ht="25.5" customHeight="1" x14ac:dyDescent="0.15">
      <c r="A18" s="180"/>
      <c r="B18" s="42" t="s">
        <v>59</v>
      </c>
      <c r="C18" s="43" t="s">
        <v>33</v>
      </c>
      <c r="D18" s="24" t="s">
        <v>60</v>
      </c>
      <c r="E18" s="44">
        <f>ROUNDUP((E12*(1+E15)*E17),0)</f>
        <v>4992000</v>
      </c>
    </row>
    <row r="19" spans="1:6" ht="25.5" customHeight="1" x14ac:dyDescent="0.15">
      <c r="A19" s="178" t="s">
        <v>61</v>
      </c>
      <c r="B19" s="11" t="s">
        <v>62</v>
      </c>
      <c r="C19" s="31" t="s">
        <v>33</v>
      </c>
      <c r="D19" s="19" t="s">
        <v>63</v>
      </c>
      <c r="E19" s="20">
        <v>50000</v>
      </c>
    </row>
    <row r="20" spans="1:6" ht="25.5" customHeight="1" x14ac:dyDescent="0.15">
      <c r="A20" s="179"/>
      <c r="B20" s="11" t="s">
        <v>64</v>
      </c>
      <c r="C20" s="31" t="s">
        <v>33</v>
      </c>
      <c r="D20" s="19" t="s">
        <v>65</v>
      </c>
      <c r="E20" s="20">
        <v>50000</v>
      </c>
    </row>
    <row r="21" spans="1:6" ht="25.5" customHeight="1" x14ac:dyDescent="0.15">
      <c r="A21" s="180"/>
      <c r="B21" s="30" t="s">
        <v>66</v>
      </c>
      <c r="C21" s="31" t="s">
        <v>33</v>
      </c>
      <c r="D21" s="32" t="s">
        <v>67</v>
      </c>
      <c r="E21" s="20">
        <v>100000</v>
      </c>
    </row>
    <row r="22" spans="1:6" ht="25.5" customHeight="1" x14ac:dyDescent="0.15">
      <c r="A22" s="178" t="s">
        <v>68</v>
      </c>
      <c r="B22" s="11" t="s">
        <v>69</v>
      </c>
      <c r="C22" s="31" t="s">
        <v>33</v>
      </c>
      <c r="D22" s="19" t="s">
        <v>70</v>
      </c>
      <c r="E22" s="20">
        <v>50000</v>
      </c>
    </row>
    <row r="23" spans="1:6" ht="25.5" customHeight="1" x14ac:dyDescent="0.15">
      <c r="A23" s="180"/>
      <c r="B23" s="46" t="s">
        <v>71</v>
      </c>
      <c r="C23" s="31" t="s">
        <v>33</v>
      </c>
      <c r="D23" s="32" t="s">
        <v>72</v>
      </c>
      <c r="E23" s="20">
        <v>150000</v>
      </c>
    </row>
    <row r="24" spans="1:6" ht="25.5" customHeight="1" x14ac:dyDescent="0.15">
      <c r="A24" s="179" t="s">
        <v>73</v>
      </c>
      <c r="B24" s="38" t="s">
        <v>74</v>
      </c>
      <c r="C24" s="27" t="s">
        <v>33</v>
      </c>
      <c r="D24" s="47" t="s">
        <v>75</v>
      </c>
      <c r="E24" s="20">
        <v>50000</v>
      </c>
    </row>
    <row r="25" spans="1:6" ht="25.5" customHeight="1" x14ac:dyDescent="0.15">
      <c r="A25" s="180"/>
      <c r="B25" s="38" t="s">
        <v>76</v>
      </c>
      <c r="C25" s="27" t="s">
        <v>33</v>
      </c>
      <c r="D25" s="48" t="s">
        <v>77</v>
      </c>
      <c r="E25" s="20">
        <v>100000</v>
      </c>
    </row>
    <row r="26" spans="1:6" ht="25.5" customHeight="1" x14ac:dyDescent="0.15">
      <c r="A26" s="11" t="s">
        <v>78</v>
      </c>
      <c r="B26" s="11"/>
      <c r="C26" s="36" t="s">
        <v>52</v>
      </c>
      <c r="D26" s="32" t="s">
        <v>79</v>
      </c>
      <c r="E26" s="49">
        <v>0.22</v>
      </c>
    </row>
    <row r="27" spans="1:6" ht="25.5" customHeight="1" x14ac:dyDescent="0.15">
      <c r="A27" s="181" t="s">
        <v>80</v>
      </c>
      <c r="B27" s="182"/>
      <c r="C27" s="22" t="s">
        <v>33</v>
      </c>
      <c r="D27" s="50" t="s">
        <v>81</v>
      </c>
      <c r="E27" s="51">
        <f>ROUNDUP((((E11+E18+(E19/E10)+E20+E21+E22+E23+E24+E25)/(1-E26))-((E11+E18+(E19/E10)+E20+E21+E22+E23+E24+E25))),0)</f>
        <v>2273545</v>
      </c>
    </row>
    <row r="28" spans="1:6" ht="25.5" customHeight="1" x14ac:dyDescent="0.15">
      <c r="A28" s="183" t="s">
        <v>82</v>
      </c>
      <c r="B28" s="183"/>
      <c r="C28" s="22" t="s">
        <v>33</v>
      </c>
      <c r="D28" s="50" t="s">
        <v>83</v>
      </c>
      <c r="E28" s="51">
        <f>SUM(E11,E18,(E19/E10),E20,E21,E22,E23,E24,E25,E27)</f>
        <v>10334295</v>
      </c>
      <c r="F28" s="117"/>
    </row>
    <row r="29" spans="1:6" ht="11.25" customHeight="1" x14ac:dyDescent="0.15">
      <c r="A29" s="52"/>
      <c r="B29" s="53"/>
      <c r="C29" s="54"/>
      <c r="D29" s="55"/>
      <c r="E29" s="56"/>
    </row>
    <row r="30" spans="1:6" ht="25.5" customHeight="1" x14ac:dyDescent="0.15">
      <c r="A30" s="187" t="s">
        <v>84</v>
      </c>
      <c r="B30" s="187"/>
      <c r="C30" s="187"/>
      <c r="D30" s="187"/>
    </row>
    <row r="31" spans="1:6" ht="25.5" customHeight="1" x14ac:dyDescent="0.15">
      <c r="A31" s="184" t="s">
        <v>15</v>
      </c>
      <c r="B31" s="185"/>
      <c r="C31" s="7" t="s">
        <v>16</v>
      </c>
      <c r="D31" s="8" t="s">
        <v>17</v>
      </c>
      <c r="E31" s="57" t="str">
        <f>CONCATENATE(E3,E4)</f>
        <v>大型バン</v>
      </c>
    </row>
    <row r="32" spans="1:6" ht="25.5" customHeight="1" x14ac:dyDescent="0.15">
      <c r="A32" s="171" t="s">
        <v>85</v>
      </c>
      <c r="B32" s="11" t="s">
        <v>86</v>
      </c>
      <c r="C32" s="12" t="s">
        <v>87</v>
      </c>
      <c r="D32" s="13" t="s">
        <v>88</v>
      </c>
      <c r="E32" s="58">
        <v>3.5</v>
      </c>
    </row>
    <row r="33" spans="1:5" ht="25.5" customHeight="1" x14ac:dyDescent="0.15">
      <c r="A33" s="171"/>
      <c r="B33" s="11" t="s">
        <v>89</v>
      </c>
      <c r="C33" s="12" t="s">
        <v>33</v>
      </c>
      <c r="D33" s="13" t="s">
        <v>90</v>
      </c>
      <c r="E33" s="59">
        <v>120</v>
      </c>
    </row>
    <row r="34" spans="1:5" ht="25.5" customHeight="1" x14ac:dyDescent="0.15">
      <c r="A34" s="171"/>
      <c r="B34" s="22" t="s">
        <v>91</v>
      </c>
      <c r="C34" s="22" t="s">
        <v>33</v>
      </c>
      <c r="D34" s="50" t="s">
        <v>92</v>
      </c>
      <c r="E34" s="60">
        <f>IFERROR(ROUNDUP(E33/E32,1),0)</f>
        <v>34.300000000000004</v>
      </c>
    </row>
    <row r="35" spans="1:5" ht="25.5" customHeight="1" x14ac:dyDescent="0.15">
      <c r="A35" s="171" t="s">
        <v>93</v>
      </c>
      <c r="B35" s="11" t="s">
        <v>94</v>
      </c>
      <c r="C35" s="12" t="s">
        <v>33</v>
      </c>
      <c r="D35" s="13" t="s">
        <v>95</v>
      </c>
      <c r="E35" s="61">
        <v>500</v>
      </c>
    </row>
    <row r="36" spans="1:5" ht="25.5" customHeight="1" x14ac:dyDescent="0.15">
      <c r="A36" s="171"/>
      <c r="B36" s="11" t="s">
        <v>96</v>
      </c>
      <c r="C36" s="12" t="s">
        <v>97</v>
      </c>
      <c r="D36" s="13" t="s">
        <v>98</v>
      </c>
      <c r="E36" s="62">
        <v>30</v>
      </c>
    </row>
    <row r="37" spans="1:5" ht="25.5" customHeight="1" x14ac:dyDescent="0.15">
      <c r="A37" s="171"/>
      <c r="B37" s="11" t="s">
        <v>99</v>
      </c>
      <c r="C37" s="12" t="s">
        <v>33</v>
      </c>
      <c r="D37" s="13" t="s">
        <v>100</v>
      </c>
      <c r="E37" s="59">
        <v>3000</v>
      </c>
    </row>
    <row r="38" spans="1:5" ht="25.5" customHeight="1" x14ac:dyDescent="0.15">
      <c r="A38" s="171"/>
      <c r="B38" s="11" t="s">
        <v>101</v>
      </c>
      <c r="C38" s="12" t="s">
        <v>102</v>
      </c>
      <c r="D38" s="13" t="s">
        <v>103</v>
      </c>
      <c r="E38" s="63">
        <v>20000</v>
      </c>
    </row>
    <row r="39" spans="1:5" ht="25.5" customHeight="1" x14ac:dyDescent="0.15">
      <c r="A39" s="171"/>
      <c r="B39" s="22" t="s">
        <v>104</v>
      </c>
      <c r="C39" s="22" t="s">
        <v>33</v>
      </c>
      <c r="D39" s="50" t="s">
        <v>105</v>
      </c>
      <c r="E39" s="60">
        <f>IFERROR(ROUNDUP(((E35*E36)+E37)/E38,1),0)</f>
        <v>0.9</v>
      </c>
    </row>
    <row r="40" spans="1:5" ht="25.5" customHeight="1" x14ac:dyDescent="0.15">
      <c r="A40" s="175" t="s">
        <v>106</v>
      </c>
      <c r="B40" s="11" t="s">
        <v>107</v>
      </c>
      <c r="C40" s="12" t="s">
        <v>33</v>
      </c>
      <c r="D40" s="13" t="s">
        <v>108</v>
      </c>
      <c r="E40" s="59">
        <v>35000</v>
      </c>
    </row>
    <row r="41" spans="1:5" ht="25.5" customHeight="1" x14ac:dyDescent="0.15">
      <c r="A41" s="176"/>
      <c r="B41" s="11" t="s">
        <v>109</v>
      </c>
      <c r="C41" s="12" t="s">
        <v>110</v>
      </c>
      <c r="D41" s="13" t="s">
        <v>111</v>
      </c>
      <c r="E41" s="64">
        <v>10</v>
      </c>
    </row>
    <row r="42" spans="1:5" ht="25.5" customHeight="1" x14ac:dyDescent="0.15">
      <c r="A42" s="176"/>
      <c r="B42" s="11" t="s">
        <v>112</v>
      </c>
      <c r="C42" s="12" t="s">
        <v>33</v>
      </c>
      <c r="D42" s="13" t="s">
        <v>113</v>
      </c>
      <c r="E42" s="59">
        <v>3000</v>
      </c>
    </row>
    <row r="43" spans="1:5" ht="25.5" customHeight="1" x14ac:dyDescent="0.15">
      <c r="A43" s="176"/>
      <c r="B43" s="11" t="s">
        <v>114</v>
      </c>
      <c r="C43" s="12" t="s">
        <v>102</v>
      </c>
      <c r="D43" s="13" t="s">
        <v>115</v>
      </c>
      <c r="E43" s="63">
        <v>50000</v>
      </c>
    </row>
    <row r="44" spans="1:5" ht="25.5" customHeight="1" x14ac:dyDescent="0.15">
      <c r="A44" s="177"/>
      <c r="B44" s="22" t="s">
        <v>116</v>
      </c>
      <c r="C44" s="22" t="s">
        <v>33</v>
      </c>
      <c r="D44" s="50" t="s">
        <v>117</v>
      </c>
      <c r="E44" s="60">
        <f>IFERROR(ROUNDUP((E40*E41+E42)/E43,1),0)</f>
        <v>7.1</v>
      </c>
    </row>
    <row r="45" spans="1:5" s="45" customFormat="1" ht="25.5" customHeight="1" x14ac:dyDescent="0.15">
      <c r="A45" s="171" t="s">
        <v>118</v>
      </c>
      <c r="B45" s="65" t="s">
        <v>119</v>
      </c>
      <c r="C45" s="66" t="s">
        <v>33</v>
      </c>
      <c r="D45" s="67" t="s">
        <v>120</v>
      </c>
      <c r="E45" s="61">
        <v>100</v>
      </c>
    </row>
    <row r="46" spans="1:5" s="72" customFormat="1" ht="25.5" customHeight="1" x14ac:dyDescent="0.15">
      <c r="A46" s="171"/>
      <c r="B46" s="68" t="s">
        <v>121</v>
      </c>
      <c r="C46" s="69" t="s">
        <v>102</v>
      </c>
      <c r="D46" s="70" t="s">
        <v>122</v>
      </c>
      <c r="E46" s="71">
        <v>300</v>
      </c>
    </row>
    <row r="47" spans="1:5" s="74" customFormat="1" ht="25.5" customHeight="1" x14ac:dyDescent="0.15">
      <c r="A47" s="171"/>
      <c r="B47" s="73" t="s">
        <v>123</v>
      </c>
      <c r="C47" s="73" t="s">
        <v>33</v>
      </c>
      <c r="D47" s="50" t="s">
        <v>124</v>
      </c>
      <c r="E47" s="60">
        <f>IFERROR(ROUNDUP(E45/E46,1),0)</f>
        <v>0.4</v>
      </c>
    </row>
    <row r="48" spans="1:5" ht="25.5" customHeight="1" x14ac:dyDescent="0.15">
      <c r="A48" s="171" t="s">
        <v>125</v>
      </c>
      <c r="B48" s="11" t="s">
        <v>126</v>
      </c>
      <c r="C48" s="12" t="s">
        <v>33</v>
      </c>
      <c r="D48" s="13" t="s">
        <v>127</v>
      </c>
      <c r="E48" s="59">
        <v>300000</v>
      </c>
    </row>
    <row r="49" spans="1:5" ht="25.5" customHeight="1" x14ac:dyDescent="0.15">
      <c r="A49" s="171"/>
      <c r="B49" s="11" t="s">
        <v>128</v>
      </c>
      <c r="C49" s="12" t="s">
        <v>33</v>
      </c>
      <c r="D49" s="13" t="s">
        <v>129</v>
      </c>
      <c r="E49" s="59">
        <v>200000</v>
      </c>
    </row>
    <row r="50" spans="1:5" ht="25.5" customHeight="1" x14ac:dyDescent="0.15">
      <c r="A50" s="171"/>
      <c r="B50" s="11" t="s">
        <v>130</v>
      </c>
      <c r="C50" s="12" t="s">
        <v>102</v>
      </c>
      <c r="D50" s="13" t="s">
        <v>131</v>
      </c>
      <c r="E50" s="63">
        <v>50000</v>
      </c>
    </row>
    <row r="51" spans="1:5" ht="25.5" customHeight="1" x14ac:dyDescent="0.15">
      <c r="A51" s="171"/>
      <c r="B51" s="73" t="s">
        <v>132</v>
      </c>
      <c r="C51" s="73" t="s">
        <v>33</v>
      </c>
      <c r="D51" s="50" t="s">
        <v>133</v>
      </c>
      <c r="E51" s="60">
        <f>IFERROR(ROUNDUP((E48+E49)/E50,1),0)</f>
        <v>10</v>
      </c>
    </row>
    <row r="52" spans="1:5" ht="25.5" customHeight="1" x14ac:dyDescent="0.15">
      <c r="A52" s="75" t="s">
        <v>134</v>
      </c>
      <c r="B52" s="73" t="s">
        <v>135</v>
      </c>
      <c r="C52" s="73" t="s">
        <v>33</v>
      </c>
      <c r="D52" s="50" t="s">
        <v>136</v>
      </c>
      <c r="E52" s="60">
        <f>ROUNDUP(SUM(E34,E39,E44,E47,E51)/(1-E26)-SUM(E34,E39,E44,E47,E51),1)</f>
        <v>14.9</v>
      </c>
    </row>
    <row r="53" spans="1:5" ht="25.5" customHeight="1" x14ac:dyDescent="0.15">
      <c r="A53" s="188" t="s">
        <v>137</v>
      </c>
      <c r="B53" s="188"/>
      <c r="C53" s="73" t="s">
        <v>33</v>
      </c>
      <c r="D53" s="50" t="s">
        <v>136</v>
      </c>
      <c r="E53" s="60">
        <f>SUM(E34,E39,E44,E47,E51,E52)</f>
        <v>67.600000000000009</v>
      </c>
    </row>
    <row r="54" spans="1:5" s="77" customFormat="1" ht="18" customHeight="1" x14ac:dyDescent="0.15">
      <c r="A54" s="76"/>
    </row>
    <row r="55" spans="1:5" s="77" customFormat="1" ht="25.5" customHeight="1" x14ac:dyDescent="0.15">
      <c r="A55" s="78" t="s">
        <v>138</v>
      </c>
      <c r="B55" s="79"/>
      <c r="C55" s="79"/>
      <c r="D55" s="79"/>
    </row>
    <row r="56" spans="1:5" s="77" customFormat="1" ht="25.5" customHeight="1" x14ac:dyDescent="0.15">
      <c r="A56" s="184" t="s">
        <v>15</v>
      </c>
      <c r="B56" s="185"/>
      <c r="C56" s="7" t="s">
        <v>16</v>
      </c>
      <c r="D56" s="8" t="s">
        <v>17</v>
      </c>
      <c r="E56" s="57" t="str">
        <f>E31</f>
        <v>大型バン</v>
      </c>
    </row>
    <row r="57" spans="1:5" ht="25.5" customHeight="1" x14ac:dyDescent="0.15">
      <c r="A57" s="178" t="s">
        <v>0</v>
      </c>
      <c r="B57" s="11" t="s">
        <v>139</v>
      </c>
      <c r="C57" s="18" t="s">
        <v>33</v>
      </c>
      <c r="D57" s="19" t="s">
        <v>140</v>
      </c>
      <c r="E57" s="20"/>
    </row>
    <row r="58" spans="1:5" ht="25.5" customHeight="1" x14ac:dyDescent="0.15">
      <c r="A58" s="179"/>
      <c r="B58" s="11" t="s">
        <v>35</v>
      </c>
      <c r="C58" s="18" t="s">
        <v>33</v>
      </c>
      <c r="D58" s="19" t="s">
        <v>141</v>
      </c>
      <c r="E58" s="20"/>
    </row>
    <row r="59" spans="1:5" ht="25.5" customHeight="1" x14ac:dyDescent="0.15">
      <c r="A59" s="179"/>
      <c r="B59" s="11" t="s">
        <v>37</v>
      </c>
      <c r="C59" s="18" t="s">
        <v>38</v>
      </c>
      <c r="D59" s="19" t="s">
        <v>142</v>
      </c>
      <c r="E59" s="21"/>
    </row>
    <row r="60" spans="1:5" ht="25.5" customHeight="1" x14ac:dyDescent="0.15">
      <c r="A60" s="180"/>
      <c r="B60" s="80" t="s">
        <v>143</v>
      </c>
      <c r="C60" s="23" t="s">
        <v>33</v>
      </c>
      <c r="D60" s="24" t="s">
        <v>144</v>
      </c>
      <c r="E60" s="25">
        <f>IFERROR(ROUNDUP((E57+E58-1)/E59,0),0)</f>
        <v>0</v>
      </c>
    </row>
    <row r="61" spans="1:5" ht="25.5" customHeight="1" x14ac:dyDescent="0.15">
      <c r="A61" s="178" t="s">
        <v>61</v>
      </c>
      <c r="B61" s="11" t="s">
        <v>62</v>
      </c>
      <c r="C61" s="31" t="s">
        <v>33</v>
      </c>
      <c r="D61" s="19" t="s">
        <v>145</v>
      </c>
      <c r="E61" s="20"/>
    </row>
    <row r="62" spans="1:5" ht="25.5" customHeight="1" x14ac:dyDescent="0.15">
      <c r="A62" s="179"/>
      <c r="B62" s="11" t="s">
        <v>64</v>
      </c>
      <c r="C62" s="31" t="s">
        <v>33</v>
      </c>
      <c r="D62" s="19" t="s">
        <v>146</v>
      </c>
      <c r="E62" s="20"/>
    </row>
    <row r="63" spans="1:5" ht="25.5" customHeight="1" x14ac:dyDescent="0.15">
      <c r="A63" s="180"/>
      <c r="B63" s="30" t="s">
        <v>66</v>
      </c>
      <c r="C63" s="31" t="s">
        <v>33</v>
      </c>
      <c r="D63" s="32" t="s">
        <v>147</v>
      </c>
      <c r="E63" s="20"/>
    </row>
    <row r="64" spans="1:5" ht="25.5" customHeight="1" x14ac:dyDescent="0.15">
      <c r="A64" s="10" t="s">
        <v>68</v>
      </c>
      <c r="B64" s="11" t="s">
        <v>69</v>
      </c>
      <c r="C64" s="31" t="s">
        <v>33</v>
      </c>
      <c r="D64" s="19" t="s">
        <v>148</v>
      </c>
      <c r="E64" s="20"/>
    </row>
    <row r="65" spans="1:5" ht="25.5" customHeight="1" x14ac:dyDescent="0.15">
      <c r="A65" s="181" t="s">
        <v>149</v>
      </c>
      <c r="B65" s="182"/>
      <c r="C65" s="22" t="s">
        <v>33</v>
      </c>
      <c r="D65" s="50" t="s">
        <v>150</v>
      </c>
      <c r="E65" s="51">
        <f>IFERROR(ROUNDUP((((E60+(E61/E59)+E62+E63+E64)/(1-E26))-((E60+(E61/E59)+E62+E63+E64))),0),0)</f>
        <v>0</v>
      </c>
    </row>
    <row r="66" spans="1:5" ht="25.5" customHeight="1" x14ac:dyDescent="0.15">
      <c r="A66" s="183" t="s">
        <v>151</v>
      </c>
      <c r="B66" s="183"/>
      <c r="C66" s="22" t="s">
        <v>33</v>
      </c>
      <c r="D66" s="50" t="s">
        <v>152</v>
      </c>
      <c r="E66" s="51">
        <f>IFERROR(E60+E61/E59+E62+E63+E64+E65,0)</f>
        <v>0</v>
      </c>
    </row>
    <row r="67" spans="1:5" ht="25.5" customHeight="1" x14ac:dyDescent="0.15">
      <c r="A67" s="175" t="s">
        <v>106</v>
      </c>
      <c r="B67" s="30" t="s">
        <v>107</v>
      </c>
      <c r="C67" s="81" t="s">
        <v>33</v>
      </c>
      <c r="D67" s="82" t="s">
        <v>153</v>
      </c>
      <c r="E67" s="83"/>
    </row>
    <row r="68" spans="1:5" ht="25.5" customHeight="1" x14ac:dyDescent="0.15">
      <c r="A68" s="176"/>
      <c r="B68" s="11" t="s">
        <v>109</v>
      </c>
      <c r="C68" s="12" t="s">
        <v>110</v>
      </c>
      <c r="D68" s="13" t="s">
        <v>154</v>
      </c>
      <c r="E68" s="84"/>
    </row>
    <row r="69" spans="1:5" ht="25.5" customHeight="1" x14ac:dyDescent="0.15">
      <c r="A69" s="176"/>
      <c r="B69" s="11" t="s">
        <v>112</v>
      </c>
      <c r="C69" s="12" t="s">
        <v>33</v>
      </c>
      <c r="D69" s="13" t="s">
        <v>155</v>
      </c>
      <c r="E69" s="59"/>
    </row>
    <row r="70" spans="1:5" ht="25.5" customHeight="1" x14ac:dyDescent="0.15">
      <c r="A70" s="176"/>
      <c r="B70" s="11" t="s">
        <v>114</v>
      </c>
      <c r="C70" s="12" t="s">
        <v>102</v>
      </c>
      <c r="D70" s="13" t="s">
        <v>156</v>
      </c>
      <c r="E70" s="63"/>
    </row>
    <row r="71" spans="1:5" ht="25.5" customHeight="1" x14ac:dyDescent="0.15">
      <c r="A71" s="177"/>
      <c r="B71" s="80" t="s">
        <v>157</v>
      </c>
      <c r="C71" s="22" t="s">
        <v>33</v>
      </c>
      <c r="D71" s="85" t="s">
        <v>158</v>
      </c>
      <c r="E71" s="86">
        <f>IFERROR(ROUNDUP((E67*E68+E69)/E70,2),0)</f>
        <v>0</v>
      </c>
    </row>
    <row r="72" spans="1:5" ht="25.5" customHeight="1" x14ac:dyDescent="0.15">
      <c r="A72" s="171" t="s">
        <v>125</v>
      </c>
      <c r="B72" s="11" t="s">
        <v>126</v>
      </c>
      <c r="C72" s="12" t="s">
        <v>33</v>
      </c>
      <c r="D72" s="13" t="s">
        <v>159</v>
      </c>
      <c r="E72" s="59"/>
    </row>
    <row r="73" spans="1:5" ht="25.5" customHeight="1" x14ac:dyDescent="0.15">
      <c r="A73" s="171"/>
      <c r="B73" s="11" t="s">
        <v>160</v>
      </c>
      <c r="C73" s="12" t="s">
        <v>33</v>
      </c>
      <c r="D73" s="13" t="s">
        <v>161</v>
      </c>
      <c r="E73" s="59"/>
    </row>
    <row r="74" spans="1:5" ht="25.5" customHeight="1" x14ac:dyDescent="0.15">
      <c r="A74" s="171"/>
      <c r="B74" s="11" t="s">
        <v>162</v>
      </c>
      <c r="C74" s="12" t="s">
        <v>102</v>
      </c>
      <c r="D74" s="13" t="s">
        <v>163</v>
      </c>
      <c r="E74" s="63"/>
    </row>
    <row r="75" spans="1:5" ht="25.5" customHeight="1" x14ac:dyDescent="0.15">
      <c r="A75" s="171"/>
      <c r="B75" s="87" t="s">
        <v>164</v>
      </c>
      <c r="C75" s="73" t="s">
        <v>33</v>
      </c>
      <c r="D75" s="50" t="s">
        <v>165</v>
      </c>
      <c r="E75" s="86">
        <f>IFERROR(ROUNDUP((E72+E73)/E74,2),0)</f>
        <v>0</v>
      </c>
    </row>
    <row r="76" spans="1:5" ht="25.5" customHeight="1" x14ac:dyDescent="0.15">
      <c r="A76" s="75" t="s">
        <v>134</v>
      </c>
      <c r="B76" s="87" t="s">
        <v>166</v>
      </c>
      <c r="C76" s="73" t="s">
        <v>33</v>
      </c>
      <c r="D76" s="50" t="s">
        <v>150</v>
      </c>
      <c r="E76" s="86">
        <f>ROUNDUP(SUM(E71,E75)/(1-E26)-SUM(E71,E75),2)</f>
        <v>0</v>
      </c>
    </row>
    <row r="77" spans="1:5" ht="24.75" customHeight="1" x14ac:dyDescent="0.15">
      <c r="A77" s="172" t="s">
        <v>167</v>
      </c>
      <c r="B77" s="173"/>
      <c r="C77" s="73" t="s">
        <v>33</v>
      </c>
      <c r="D77" s="50" t="s">
        <v>168</v>
      </c>
      <c r="E77" s="86">
        <f>SUM(E71,E75,E76)</f>
        <v>0</v>
      </c>
    </row>
    <row r="78" spans="1:5" ht="50.25" hidden="1" customHeight="1" x14ac:dyDescent="0.15">
      <c r="B78" s="6" t="s">
        <v>169</v>
      </c>
      <c r="D78" s="89" t="s">
        <v>170</v>
      </c>
      <c r="E78" s="88">
        <f>IF(E5="トレーラ",9,IF(E5="単車",1))</f>
        <v>1</v>
      </c>
    </row>
    <row r="79" spans="1:5" ht="50.25" hidden="1" customHeight="1" x14ac:dyDescent="0.15">
      <c r="A79" s="6" t="s">
        <v>171</v>
      </c>
      <c r="B79" s="90" t="s">
        <v>172</v>
      </c>
      <c r="C79" s="91" t="s">
        <v>33</v>
      </c>
      <c r="D79" s="90">
        <v>1</v>
      </c>
      <c r="E79" s="92">
        <f>ROUNDUP(E28/E17*(102.72%),0)</f>
        <v>5104</v>
      </c>
    </row>
    <row r="80" spans="1:5" ht="50.25" hidden="1" customHeight="1" x14ac:dyDescent="0.15">
      <c r="A80" s="6" t="s">
        <v>173</v>
      </c>
      <c r="B80" s="90" t="s">
        <v>172</v>
      </c>
      <c r="C80" s="91" t="s">
        <v>33</v>
      </c>
      <c r="D80" s="90">
        <v>9</v>
      </c>
      <c r="E80" s="92">
        <f>ROUNDUP((E66+E28)/E17*102.72%,0)</f>
        <v>5104</v>
      </c>
    </row>
    <row r="81" spans="1:5" ht="50.25" hidden="1" customHeight="1" x14ac:dyDescent="0.15">
      <c r="A81" s="6" t="s">
        <v>171</v>
      </c>
      <c r="B81" s="90" t="s">
        <v>174</v>
      </c>
      <c r="C81" s="91" t="s">
        <v>33</v>
      </c>
      <c r="D81" s="90">
        <v>1</v>
      </c>
      <c r="E81" s="93">
        <f>ROUNDUP(E12*E16*(1+E15)/(1-E26)*(102.72%),0)</f>
        <v>3951</v>
      </c>
    </row>
    <row r="82" spans="1:5" ht="50.25" hidden="1" customHeight="1" x14ac:dyDescent="0.15">
      <c r="A82" s="6" t="s">
        <v>175</v>
      </c>
      <c r="B82" s="90" t="s">
        <v>174</v>
      </c>
      <c r="C82" s="91" t="s">
        <v>33</v>
      </c>
      <c r="D82" s="90">
        <v>9</v>
      </c>
      <c r="E82" s="92">
        <f>E81</f>
        <v>3951</v>
      </c>
    </row>
    <row r="83" spans="1:5" ht="50.25" hidden="1" customHeight="1" x14ac:dyDescent="0.15">
      <c r="A83" s="6" t="s">
        <v>171</v>
      </c>
      <c r="B83" s="94" t="s">
        <v>137</v>
      </c>
      <c r="C83" s="95" t="s">
        <v>176</v>
      </c>
      <c r="D83" s="96">
        <v>1</v>
      </c>
      <c r="E83" s="97">
        <f>ROUNDUP(E53*(102.72%),2)</f>
        <v>69.440000000000012</v>
      </c>
    </row>
    <row r="84" spans="1:5" ht="50.25" hidden="1" customHeight="1" x14ac:dyDescent="0.15">
      <c r="A84" s="6" t="s">
        <v>175</v>
      </c>
      <c r="B84" s="94" t="s">
        <v>137</v>
      </c>
      <c r="C84" s="95" t="s">
        <v>176</v>
      </c>
      <c r="D84" s="96">
        <v>9</v>
      </c>
      <c r="E84" s="97">
        <f>ROUNDUP((E77+E53)*(102.72%),2)</f>
        <v>69.440000000000012</v>
      </c>
    </row>
    <row r="85" spans="1:5" s="114" customFormat="1" ht="14.25" customHeight="1" x14ac:dyDescent="0.15">
      <c r="B85" s="114" t="s">
        <v>177</v>
      </c>
      <c r="C85" s="115"/>
      <c r="D85" s="116"/>
      <c r="E85" s="115">
        <v>2</v>
      </c>
    </row>
    <row r="86" spans="1:5" ht="18.75" customHeight="1" x14ac:dyDescent="0.15">
      <c r="A86" s="174" t="s">
        <v>199</v>
      </c>
      <c r="B86" s="98" t="s">
        <v>172</v>
      </c>
      <c r="C86" s="99" t="s">
        <v>33</v>
      </c>
      <c r="D86" s="100" t="s">
        <v>178</v>
      </c>
      <c r="E86" s="101">
        <f>VLOOKUP(E78,$D$79:$E$80,E85,FALSE)</f>
        <v>5104</v>
      </c>
    </row>
    <row r="87" spans="1:5" ht="18.75" customHeight="1" x14ac:dyDescent="0.15">
      <c r="A87" s="174"/>
      <c r="B87" s="102" t="s">
        <v>137</v>
      </c>
      <c r="C87" s="103" t="s">
        <v>176</v>
      </c>
      <c r="D87" s="100" t="s">
        <v>179</v>
      </c>
      <c r="E87" s="104">
        <f>VLOOKUP(E78,$D$83:$E$84,E85,FALSE)</f>
        <v>69.440000000000012</v>
      </c>
    </row>
    <row r="88" spans="1:5" ht="27" hidden="1" customHeight="1" x14ac:dyDescent="0.15">
      <c r="B88" s="105"/>
      <c r="C88" s="106"/>
      <c r="D88" s="107"/>
      <c r="E88" s="108"/>
    </row>
    <row r="89" spans="1:5" ht="27" hidden="1" customHeight="1" x14ac:dyDescent="0.15">
      <c r="B89" s="6" t="s">
        <v>180</v>
      </c>
      <c r="E89" s="88">
        <v>2</v>
      </c>
    </row>
    <row r="90" spans="1:5" ht="27" hidden="1" customHeight="1" x14ac:dyDescent="0.15">
      <c r="A90" s="174" t="s">
        <v>181</v>
      </c>
      <c r="B90" s="90" t="s">
        <v>172</v>
      </c>
      <c r="C90" s="91" t="s">
        <v>33</v>
      </c>
      <c r="D90" s="109" t="s">
        <v>182</v>
      </c>
      <c r="E90" s="92">
        <f>+E86</f>
        <v>5104</v>
      </c>
    </row>
    <row r="91" spans="1:5" ht="27" hidden="1" customHeight="1" x14ac:dyDescent="0.15">
      <c r="A91" s="174"/>
      <c r="B91" s="90" t="s">
        <v>174</v>
      </c>
      <c r="C91" s="91" t="s">
        <v>33</v>
      </c>
      <c r="D91" s="109" t="s">
        <v>183</v>
      </c>
      <c r="E91" s="92" t="e">
        <f>+#REF!</f>
        <v>#REF!</v>
      </c>
    </row>
    <row r="92" spans="1:5" ht="27" hidden="1" customHeight="1" x14ac:dyDescent="0.15">
      <c r="A92" s="174"/>
      <c r="B92" s="110" t="s">
        <v>137</v>
      </c>
      <c r="C92" s="111" t="s">
        <v>176</v>
      </c>
      <c r="D92" s="109" t="s">
        <v>182</v>
      </c>
      <c r="E92" s="112">
        <f>+E87</f>
        <v>69.440000000000012</v>
      </c>
    </row>
    <row r="93" spans="1:5" ht="27" customHeight="1" x14ac:dyDescent="0.15"/>
    <row r="94" spans="1:5" ht="21.75" customHeight="1" x14ac:dyDescent="0.15">
      <c r="E94" s="170"/>
    </row>
  </sheetData>
  <sheetProtection algorithmName="SHA-512" hashValue="eGCmo8RhWojdPomhACQNb7jXivGDf9HPsium3+gVuEAsMDdhlbqmmkRlZ6y3e6k9Y6Idb2pAij4/4yz5zCol5A==" saltValue="gYQlG0rX1chY8EALr4v0kw==" spinCount="100000" sheet="1" objects="1" scenarios="1" selectLockedCells="1"/>
  <mergeCells count="28">
    <mergeCell ref="A66:B66"/>
    <mergeCell ref="A31:B31"/>
    <mergeCell ref="A1:D1"/>
    <mergeCell ref="A2:B2"/>
    <mergeCell ref="A3:A7"/>
    <mergeCell ref="A8:A11"/>
    <mergeCell ref="A12:A18"/>
    <mergeCell ref="A19:A21"/>
    <mergeCell ref="A22:A23"/>
    <mergeCell ref="A24:A25"/>
    <mergeCell ref="A27:B27"/>
    <mergeCell ref="A28:B28"/>
    <mergeCell ref="A30:D30"/>
    <mergeCell ref="A53:B53"/>
    <mergeCell ref="A56:B56"/>
    <mergeCell ref="A57:A60"/>
    <mergeCell ref="A61:A63"/>
    <mergeCell ref="A65:B65"/>
    <mergeCell ref="A32:A34"/>
    <mergeCell ref="A35:A39"/>
    <mergeCell ref="A40:A44"/>
    <mergeCell ref="A45:A47"/>
    <mergeCell ref="A48:A51"/>
    <mergeCell ref="A72:A75"/>
    <mergeCell ref="A77:B77"/>
    <mergeCell ref="A86:A87"/>
    <mergeCell ref="A90:A92"/>
    <mergeCell ref="A67:A71"/>
  </mergeCells>
  <phoneticPr fontId="2"/>
  <conditionalFormatting sqref="E56:E77">
    <cfRule type="expression" dxfId="0" priority="5">
      <formula>$E$5="単車"</formula>
    </cfRule>
  </conditionalFormatting>
  <dataValidations count="1">
    <dataValidation type="list" allowBlank="1" showInputMessage="1" showErrorMessage="1" promptTitle="選択します" sqref="B5:C5 E5" xr:uid="{33FD35B7-FFC4-4951-A849-9E1FE4994DB6}">
      <formula1>"単車,トレーラ"</formula1>
    </dataValidation>
  </dataValidations>
  <printOptions horizontalCentered="1"/>
  <pageMargins left="0.23622047244094491" right="0.23622047244094491" top="0.74803149606299213" bottom="0.74803149606299213" header="0.31496062992125984" footer="0.31496062992125984"/>
  <pageSetup paperSize="9" scale="45"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DM22"/>
  <sheetViews>
    <sheetView zoomScale="117" zoomScaleNormal="100" workbookViewId="0">
      <selection activeCell="F15" sqref="F15"/>
    </sheetView>
  </sheetViews>
  <sheetFormatPr defaultRowHeight="13.5" x14ac:dyDescent="0.15"/>
  <cols>
    <col min="1" max="1" width="4.5" style="1" customWidth="1"/>
    <col min="2" max="2" width="32.875" style="1" customWidth="1"/>
    <col min="3" max="6" width="10.875" style="2" customWidth="1"/>
    <col min="7" max="7" width="6" style="2" customWidth="1"/>
    <col min="118" max="16384" width="9" style="4"/>
  </cols>
  <sheetData>
    <row r="1" spans="1:7" ht="30.75" customHeight="1" x14ac:dyDescent="0.15">
      <c r="A1" s="189" t="s">
        <v>11</v>
      </c>
      <c r="B1" s="189"/>
      <c r="C1" s="189"/>
      <c r="D1" s="189"/>
      <c r="E1" s="189"/>
      <c r="F1" s="189"/>
      <c r="G1" s="118"/>
    </row>
    <row r="2" spans="1:7" ht="15" customHeight="1" x14ac:dyDescent="0.15">
      <c r="A2" s="192"/>
      <c r="B2" s="192"/>
      <c r="C2" s="3"/>
      <c r="D2" s="3"/>
      <c r="E2" s="3"/>
      <c r="F2" s="3"/>
      <c r="G2" s="3"/>
    </row>
    <row r="3" spans="1:7" ht="15" customHeight="1" x14ac:dyDescent="0.15">
      <c r="A3" s="196"/>
      <c r="B3" s="196"/>
      <c r="C3" s="120" t="s">
        <v>184</v>
      </c>
      <c r="D3" s="120" t="s">
        <v>187</v>
      </c>
      <c r="E3" s="120" t="s">
        <v>185</v>
      </c>
      <c r="F3" s="120" t="s">
        <v>186</v>
      </c>
      <c r="G3" s="190"/>
    </row>
    <row r="4" spans="1:7" ht="15" customHeight="1" x14ac:dyDescent="0.15">
      <c r="A4" s="119"/>
      <c r="B4" s="121" t="s">
        <v>191</v>
      </c>
      <c r="C4" s="122">
        <v>40000</v>
      </c>
      <c r="D4" s="122">
        <f>+C4/12</f>
        <v>3333.3333333333335</v>
      </c>
      <c r="E4" s="122">
        <f>+C4/260</f>
        <v>153.84615384615384</v>
      </c>
      <c r="F4" s="122">
        <v>120</v>
      </c>
      <c r="G4" s="191"/>
    </row>
    <row r="5" spans="1:7" ht="15" customHeight="1" x14ac:dyDescent="0.15">
      <c r="A5" s="195" t="s">
        <v>1</v>
      </c>
      <c r="B5" s="123" t="s">
        <v>6</v>
      </c>
      <c r="C5" s="124">
        <f>+条件!E34*車両別原価計算!C4</f>
        <v>1372000.0000000002</v>
      </c>
      <c r="D5" s="124">
        <f>+C5/12</f>
        <v>114333.33333333336</v>
      </c>
      <c r="E5" s="124">
        <f>+C5/$C$4*$E$4</f>
        <v>5276.9230769230771</v>
      </c>
      <c r="F5" s="124">
        <f>+C5/$C$4*$F$4</f>
        <v>4116.0000000000009</v>
      </c>
      <c r="G5" s="158">
        <f>+F5/$F$22</f>
        <v>0.10363872386889703</v>
      </c>
    </row>
    <row r="6" spans="1:7" ht="15" customHeight="1" x14ac:dyDescent="0.15">
      <c r="A6" s="195"/>
      <c r="B6" s="123" t="s">
        <v>12</v>
      </c>
      <c r="C6" s="124">
        <f>+条件!E39*車両別原価計算!C4</f>
        <v>36000</v>
      </c>
      <c r="D6" s="124">
        <f t="shared" ref="D6:D21" si="0">+C6/12</f>
        <v>3000</v>
      </c>
      <c r="E6" s="124">
        <f t="shared" ref="E6:E21" si="1">+C6/$C$4*$E$4</f>
        <v>138.46153846153845</v>
      </c>
      <c r="F6" s="124">
        <f t="shared" ref="F6:F21" si="2">+C6/$C$4*$F$4</f>
        <v>108</v>
      </c>
      <c r="G6" s="158">
        <f t="shared" ref="G6:G22" si="3">+F6/$F$22</f>
        <v>2.7193834251314085E-3</v>
      </c>
    </row>
    <row r="7" spans="1:7" ht="15" customHeight="1" x14ac:dyDescent="0.15">
      <c r="A7" s="195"/>
      <c r="B7" s="123" t="s">
        <v>7</v>
      </c>
      <c r="C7" s="124">
        <f>+C4*条件!E44</f>
        <v>284000</v>
      </c>
      <c r="D7" s="124">
        <f t="shared" si="0"/>
        <v>23666.666666666668</v>
      </c>
      <c r="E7" s="124">
        <f t="shared" si="1"/>
        <v>1092.3076923076922</v>
      </c>
      <c r="F7" s="124">
        <f t="shared" si="2"/>
        <v>852</v>
      </c>
      <c r="G7" s="158">
        <f t="shared" si="3"/>
        <v>2.1452913687147777E-2</v>
      </c>
    </row>
    <row r="8" spans="1:7" ht="15" customHeight="1" x14ac:dyDescent="0.15">
      <c r="A8" s="195"/>
      <c r="B8" s="123" t="s">
        <v>9</v>
      </c>
      <c r="C8" s="124">
        <f>+条件!E47*車両別原価計算!C4</f>
        <v>16000</v>
      </c>
      <c r="D8" s="124">
        <f t="shared" si="0"/>
        <v>1333.3333333333333</v>
      </c>
      <c r="E8" s="124">
        <f t="shared" si="1"/>
        <v>61.53846153846154</v>
      </c>
      <c r="F8" s="124">
        <f t="shared" si="2"/>
        <v>48</v>
      </c>
      <c r="G8" s="158">
        <f t="shared" si="3"/>
        <v>1.2086148556139592E-3</v>
      </c>
    </row>
    <row r="9" spans="1:7" ht="15" customHeight="1" x14ac:dyDescent="0.15">
      <c r="A9" s="195"/>
      <c r="B9" s="123" t="s">
        <v>192</v>
      </c>
      <c r="C9" s="124">
        <f>+C4*条件!E51</f>
        <v>400000</v>
      </c>
      <c r="D9" s="124">
        <f t="shared" si="0"/>
        <v>33333.333333333336</v>
      </c>
      <c r="E9" s="124">
        <f t="shared" si="1"/>
        <v>1538.4615384615383</v>
      </c>
      <c r="F9" s="124">
        <f t="shared" si="2"/>
        <v>1200</v>
      </c>
      <c r="G9" s="158">
        <f t="shared" si="3"/>
        <v>3.0215371390348984E-2</v>
      </c>
    </row>
    <row r="10" spans="1:7" ht="15" customHeight="1" thickBot="1" x14ac:dyDescent="0.2">
      <c r="A10" s="195"/>
      <c r="B10" s="138" t="s">
        <v>197</v>
      </c>
      <c r="C10" s="139">
        <f>+条件!E52*C4</f>
        <v>596000</v>
      </c>
      <c r="D10" s="139">
        <f t="shared" si="0"/>
        <v>49666.666666666664</v>
      </c>
      <c r="E10" s="139">
        <f t="shared" si="1"/>
        <v>2292.3076923076924</v>
      </c>
      <c r="F10" s="139">
        <f t="shared" si="2"/>
        <v>1788</v>
      </c>
      <c r="G10" s="165">
        <f t="shared" si="3"/>
        <v>4.5020903371619986E-2</v>
      </c>
    </row>
    <row r="11" spans="1:7" ht="15" customHeight="1" thickTop="1" x14ac:dyDescent="0.15">
      <c r="A11" s="195"/>
      <c r="B11" s="133" t="s">
        <v>195</v>
      </c>
      <c r="C11" s="134">
        <f>SUM(C5:C10)</f>
        <v>2704000</v>
      </c>
      <c r="D11" s="134">
        <f t="shared" ref="D11:F11" si="4">SUM(D5:D10)</f>
        <v>225333.33333333337</v>
      </c>
      <c r="E11" s="134">
        <f t="shared" si="4"/>
        <v>10400</v>
      </c>
      <c r="F11" s="134">
        <f t="shared" si="4"/>
        <v>8112.0000000000009</v>
      </c>
      <c r="G11" s="162">
        <f t="shared" si="3"/>
        <v>0.20425591059875914</v>
      </c>
    </row>
    <row r="12" spans="1:7" ht="15" customHeight="1" x14ac:dyDescent="0.15">
      <c r="A12" s="194" t="s">
        <v>0</v>
      </c>
      <c r="B12" s="125" t="s">
        <v>3</v>
      </c>
      <c r="C12" s="126">
        <f>+条件!E11</f>
        <v>2562500</v>
      </c>
      <c r="D12" s="126">
        <f t="shared" si="0"/>
        <v>213541.66666666666</v>
      </c>
      <c r="E12" s="126">
        <f t="shared" si="1"/>
        <v>9855.7692307692305</v>
      </c>
      <c r="F12" s="126">
        <f t="shared" si="2"/>
        <v>7687.5</v>
      </c>
      <c r="G12" s="159">
        <f t="shared" si="3"/>
        <v>0.19356722296942316</v>
      </c>
    </row>
    <row r="13" spans="1:7" ht="15" customHeight="1" x14ac:dyDescent="0.15">
      <c r="A13" s="194"/>
      <c r="B13" s="125" t="s">
        <v>13</v>
      </c>
      <c r="C13" s="126">
        <f>条件!E19/条件!E10</f>
        <v>6250</v>
      </c>
      <c r="D13" s="126">
        <f t="shared" si="0"/>
        <v>520.83333333333337</v>
      </c>
      <c r="E13" s="126">
        <f t="shared" si="1"/>
        <v>24.038461538461537</v>
      </c>
      <c r="F13" s="126">
        <f t="shared" si="2"/>
        <v>18.75</v>
      </c>
      <c r="G13" s="159">
        <f t="shared" si="3"/>
        <v>4.7211517797420287E-4</v>
      </c>
    </row>
    <row r="14" spans="1:7" ht="15" customHeight="1" x14ac:dyDescent="0.15">
      <c r="A14" s="194"/>
      <c r="B14" s="125" t="s">
        <v>4</v>
      </c>
      <c r="C14" s="126">
        <f>+条件!E20</f>
        <v>50000</v>
      </c>
      <c r="D14" s="126">
        <f t="shared" si="0"/>
        <v>4166.666666666667</v>
      </c>
      <c r="E14" s="126">
        <f t="shared" si="1"/>
        <v>192.30769230769229</v>
      </c>
      <c r="F14" s="126">
        <f t="shared" si="2"/>
        <v>150</v>
      </c>
      <c r="G14" s="159">
        <f t="shared" si="3"/>
        <v>3.7769214237936229E-3</v>
      </c>
    </row>
    <row r="15" spans="1:7" ht="15" customHeight="1" x14ac:dyDescent="0.15">
      <c r="A15" s="194"/>
      <c r="B15" s="125" t="s">
        <v>5</v>
      </c>
      <c r="C15" s="126">
        <f>+条件!E21</f>
        <v>100000</v>
      </c>
      <c r="D15" s="126">
        <f t="shared" si="0"/>
        <v>8333.3333333333339</v>
      </c>
      <c r="E15" s="126">
        <f t="shared" si="1"/>
        <v>384.61538461538458</v>
      </c>
      <c r="F15" s="126">
        <f t="shared" si="2"/>
        <v>300</v>
      </c>
      <c r="G15" s="159">
        <f t="shared" si="3"/>
        <v>7.5538428475872459E-3</v>
      </c>
    </row>
    <row r="16" spans="1:7" ht="15" customHeight="1" thickBot="1" x14ac:dyDescent="0.2">
      <c r="A16" s="194"/>
      <c r="B16" s="140" t="s">
        <v>194</v>
      </c>
      <c r="C16" s="141">
        <f>+条件!E23+条件!E22</f>
        <v>200000</v>
      </c>
      <c r="D16" s="141">
        <f t="shared" si="0"/>
        <v>16666.666666666668</v>
      </c>
      <c r="E16" s="141">
        <f t="shared" si="1"/>
        <v>769.23076923076917</v>
      </c>
      <c r="F16" s="141">
        <f t="shared" si="2"/>
        <v>600</v>
      </c>
      <c r="G16" s="166">
        <f t="shared" si="3"/>
        <v>1.5107685695174492E-2</v>
      </c>
    </row>
    <row r="17" spans="1:7" ht="15" customHeight="1" thickTop="1" x14ac:dyDescent="0.15">
      <c r="A17" s="194"/>
      <c r="B17" s="135" t="s">
        <v>196</v>
      </c>
      <c r="C17" s="136">
        <f>SUM(C12:C16)</f>
        <v>2918750</v>
      </c>
      <c r="D17" s="136">
        <f t="shared" ref="D17:F17" si="5">SUM(D12:D16)</f>
        <v>243229.16666666666</v>
      </c>
      <c r="E17" s="136">
        <f t="shared" si="5"/>
        <v>11225.961538461537</v>
      </c>
      <c r="F17" s="136">
        <f t="shared" si="5"/>
        <v>8756.25</v>
      </c>
      <c r="G17" s="163">
        <f t="shared" si="3"/>
        <v>0.22047778811395272</v>
      </c>
    </row>
    <row r="18" spans="1:7" ht="15" customHeight="1" x14ac:dyDescent="0.15">
      <c r="A18" s="127" t="s">
        <v>10</v>
      </c>
      <c r="B18" s="128"/>
      <c r="C18" s="129">
        <f>+条件!E18</f>
        <v>4992000</v>
      </c>
      <c r="D18" s="129">
        <f t="shared" si="0"/>
        <v>416000</v>
      </c>
      <c r="E18" s="129">
        <f t="shared" si="1"/>
        <v>19200</v>
      </c>
      <c r="F18" s="129">
        <f t="shared" si="2"/>
        <v>14976</v>
      </c>
      <c r="G18" s="160">
        <f t="shared" si="3"/>
        <v>0.37708783495155529</v>
      </c>
    </row>
    <row r="19" spans="1:7" ht="15" customHeight="1" x14ac:dyDescent="0.15">
      <c r="A19" s="130" t="s">
        <v>8</v>
      </c>
      <c r="B19" s="131"/>
      <c r="C19" s="132">
        <f>IF(ISERROR(#REF!+#REF!),0,#REF!+#REF!)</f>
        <v>0</v>
      </c>
      <c r="D19" s="132">
        <f>IF(ISERROR(#REF!+#REF!),0,#REF!+#REF!)</f>
        <v>0</v>
      </c>
      <c r="E19" s="132">
        <f>IF(ISERROR(#REF!+#REF!),0,#REF!+#REF!)</f>
        <v>0</v>
      </c>
      <c r="F19" s="132">
        <f>IF(ISERROR(#REF!+#REF!),0,#REF!+#REF!)</f>
        <v>0</v>
      </c>
      <c r="G19" s="161">
        <f t="shared" si="3"/>
        <v>0</v>
      </c>
    </row>
    <row r="20" spans="1:7" ht="15" customHeight="1" x14ac:dyDescent="0.15">
      <c r="A20" s="127"/>
      <c r="B20" s="128" t="s">
        <v>193</v>
      </c>
      <c r="C20" s="129">
        <f>+条件!E24+条件!E25</f>
        <v>150000</v>
      </c>
      <c r="D20" s="129">
        <f t="shared" si="0"/>
        <v>12500</v>
      </c>
      <c r="E20" s="129">
        <f t="shared" si="1"/>
        <v>576.92307692307691</v>
      </c>
      <c r="F20" s="129">
        <f t="shared" si="2"/>
        <v>450</v>
      </c>
      <c r="G20" s="160">
        <f t="shared" si="3"/>
        <v>1.1330764271380868E-2</v>
      </c>
    </row>
    <row r="21" spans="1:7" ht="15" customHeight="1" thickBot="1" x14ac:dyDescent="0.2">
      <c r="A21" s="142" t="s">
        <v>198</v>
      </c>
      <c r="B21" s="143"/>
      <c r="C21" s="141">
        <f>+条件!E27</f>
        <v>2273545</v>
      </c>
      <c r="D21" s="141">
        <f t="shared" si="0"/>
        <v>189462.08333333334</v>
      </c>
      <c r="E21" s="141">
        <f t="shared" si="1"/>
        <v>8744.4038461538457</v>
      </c>
      <c r="F21" s="141">
        <f t="shared" si="2"/>
        <v>6820.6350000000002</v>
      </c>
      <c r="G21" s="166">
        <f t="shared" si="3"/>
        <v>0.17174001636917743</v>
      </c>
    </row>
    <row r="22" spans="1:7" ht="15" customHeight="1" thickTop="1" x14ac:dyDescent="0.15">
      <c r="A22" s="193" t="s">
        <v>2</v>
      </c>
      <c r="B22" s="193"/>
      <c r="C22" s="137">
        <f>SUM(C11,C17,C16,C18,C19,C20,C21)</f>
        <v>13238295</v>
      </c>
      <c r="D22" s="137">
        <f t="shared" ref="D22:F22" si="6">SUM(D11,D17,D16,D18,D19,D20,D21)</f>
        <v>1103191.25</v>
      </c>
      <c r="E22" s="137">
        <f t="shared" si="6"/>
        <v>50916.519230769234</v>
      </c>
      <c r="F22" s="137">
        <f t="shared" si="6"/>
        <v>39714.885000000002</v>
      </c>
      <c r="G22" s="164">
        <f t="shared" si="3"/>
        <v>1</v>
      </c>
    </row>
  </sheetData>
  <sheetProtection selectLockedCells="1"/>
  <mergeCells count="7">
    <mergeCell ref="A1:F1"/>
    <mergeCell ref="G3:G4"/>
    <mergeCell ref="A2:B2"/>
    <mergeCell ref="A22:B22"/>
    <mergeCell ref="A12:A17"/>
    <mergeCell ref="A5:A11"/>
    <mergeCell ref="A3:B3"/>
  </mergeCells>
  <phoneticPr fontId="2"/>
  <pageMargins left="0.82677165354330717" right="0.23622047244094491" top="0.74803149606299213" bottom="0.74803149606299213" header="0.31496062992125984" footer="0.31496062992125984"/>
  <pageSetup paperSize="9" scale="71" orientation="landscape" r:id="rId1"/>
  <ignoredErrors>
    <ignoredError sqref="D17:F17 D11:F11" formula="1"/>
    <ignoredError sqref="D19:F19" formula="1" unlockedFormula="1"/>
    <ignoredError sqref="C19 G19"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B355B-E676-4FFF-B828-44C58B03D813}">
  <sheetPr>
    <tabColor theme="8" tint="0.59999389629810485"/>
  </sheetPr>
  <dimension ref="A1:DN15"/>
  <sheetViews>
    <sheetView workbookViewId="0">
      <selection activeCell="R9" sqref="R9"/>
    </sheetView>
  </sheetViews>
  <sheetFormatPr defaultRowHeight="13.5" x14ac:dyDescent="0.15"/>
  <cols>
    <col min="1" max="1" width="3.5" style="144" customWidth="1"/>
    <col min="2" max="3" width="11.625" customWidth="1"/>
    <col min="4" max="10" width="11.25" customWidth="1"/>
    <col min="11" max="11" width="10.375" customWidth="1"/>
    <col min="12" max="12" width="2.125" customWidth="1"/>
    <col min="13" max="13" width="9.75" bestFit="1" customWidth="1"/>
    <col min="14" max="14" width="10" customWidth="1"/>
  </cols>
  <sheetData>
    <row r="1" spans="1:118" s="4" customFormat="1" ht="23.25" customHeight="1" x14ac:dyDescent="0.15">
      <c r="A1" s="189" t="s">
        <v>208</v>
      </c>
      <c r="B1" s="189"/>
      <c r="C1" s="189"/>
      <c r="D1" s="189"/>
      <c r="E1" s="189"/>
      <c r="F1" s="189"/>
      <c r="G1" s="189"/>
      <c r="H1" s="189"/>
      <c r="I1" s="189"/>
      <c r="J1" s="189"/>
      <c r="K1" s="189"/>
      <c r="L1" s="189"/>
      <c r="M1" s="189"/>
      <c r="N1" s="189"/>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row>
    <row r="2" spans="1:118" s="4" customFormat="1" ht="15" customHeight="1" x14ac:dyDescent="0.15">
      <c r="A2" s="192"/>
      <c r="B2" s="192"/>
      <c r="C2" s="192"/>
      <c r="D2" s="192"/>
      <c r="E2" s="3"/>
      <c r="F2" s="3"/>
      <c r="G2" s="3"/>
      <c r="H2" s="3"/>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row>
    <row r="3" spans="1:118" ht="35.25" customHeight="1" x14ac:dyDescent="0.15">
      <c r="A3" s="145"/>
      <c r="B3" s="147" t="s">
        <v>206</v>
      </c>
      <c r="C3" s="147" t="s">
        <v>207</v>
      </c>
      <c r="D3" s="149" t="s">
        <v>202</v>
      </c>
      <c r="E3" s="154" t="s">
        <v>200</v>
      </c>
      <c r="F3" s="149" t="s">
        <v>191</v>
      </c>
      <c r="G3" s="154" t="s">
        <v>201</v>
      </c>
      <c r="H3" s="152" t="s">
        <v>209</v>
      </c>
      <c r="I3" s="157" t="s">
        <v>210</v>
      </c>
      <c r="J3" s="152" t="s">
        <v>211</v>
      </c>
      <c r="K3" s="154" t="s">
        <v>204</v>
      </c>
      <c r="L3" s="146"/>
      <c r="M3" s="152" t="s">
        <v>212</v>
      </c>
      <c r="N3" s="154" t="s">
        <v>205</v>
      </c>
    </row>
    <row r="4" spans="1:118" ht="31.5" customHeight="1" x14ac:dyDescent="0.15">
      <c r="A4" s="145">
        <v>1</v>
      </c>
      <c r="B4" s="148"/>
      <c r="C4" s="148"/>
      <c r="D4" s="150" t="s">
        <v>203</v>
      </c>
      <c r="E4" s="155">
        <v>8</v>
      </c>
      <c r="F4" s="151">
        <v>500</v>
      </c>
      <c r="G4" s="156">
        <v>0.7</v>
      </c>
      <c r="H4" s="167">
        <f>+条件!$E$86</f>
        <v>5104</v>
      </c>
      <c r="I4" s="167">
        <f>+条件!$E$87</f>
        <v>69.440000000000012</v>
      </c>
      <c r="J4" s="153">
        <v>3000</v>
      </c>
      <c r="K4" s="167">
        <f t="shared" ref="K4" si="0">+(E4*H4+F4*I4)/G4+J4</f>
        <v>110931.42857142858</v>
      </c>
      <c r="L4" s="146"/>
      <c r="M4" s="153">
        <v>100000</v>
      </c>
      <c r="N4" s="168">
        <f>K4-M4</f>
        <v>10931.42857142858</v>
      </c>
    </row>
    <row r="5" spans="1:118" ht="31.5" customHeight="1" x14ac:dyDescent="0.15">
      <c r="A5" s="145">
        <v>2</v>
      </c>
      <c r="B5" s="148"/>
      <c r="C5" s="148"/>
      <c r="D5" s="150"/>
      <c r="E5" s="155"/>
      <c r="F5" s="151"/>
      <c r="G5" s="156"/>
      <c r="H5" s="167"/>
      <c r="I5" s="167"/>
      <c r="J5" s="153"/>
      <c r="K5" s="167"/>
      <c r="L5" s="146"/>
      <c r="M5" s="153"/>
      <c r="N5" s="168"/>
    </row>
    <row r="6" spans="1:118" ht="31.5" customHeight="1" x14ac:dyDescent="0.15">
      <c r="A6" s="145">
        <v>3</v>
      </c>
      <c r="B6" s="148"/>
      <c r="C6" s="148"/>
      <c r="D6" s="150"/>
      <c r="E6" s="155"/>
      <c r="F6" s="151"/>
      <c r="G6" s="156"/>
      <c r="H6" s="167"/>
      <c r="I6" s="167"/>
      <c r="J6" s="153"/>
      <c r="K6" s="167"/>
      <c r="L6" s="146"/>
      <c r="M6" s="153"/>
      <c r="N6" s="168"/>
    </row>
    <row r="7" spans="1:118" ht="31.5" customHeight="1" x14ac:dyDescent="0.15">
      <c r="A7" s="145">
        <v>4</v>
      </c>
      <c r="B7" s="148"/>
      <c r="C7" s="148"/>
      <c r="D7" s="150"/>
      <c r="E7" s="155"/>
      <c r="F7" s="151"/>
      <c r="G7" s="156"/>
      <c r="H7" s="167"/>
      <c r="I7" s="167"/>
      <c r="J7" s="153"/>
      <c r="K7" s="167"/>
      <c r="L7" s="146"/>
      <c r="M7" s="153"/>
      <c r="N7" s="168"/>
    </row>
    <row r="8" spans="1:118" ht="31.5" customHeight="1" x14ac:dyDescent="0.15">
      <c r="A8" s="145">
        <v>5</v>
      </c>
      <c r="B8" s="148"/>
      <c r="C8" s="148"/>
      <c r="D8" s="150"/>
      <c r="E8" s="155"/>
      <c r="F8" s="151"/>
      <c r="G8" s="156"/>
      <c r="H8" s="167"/>
      <c r="I8" s="167"/>
      <c r="J8" s="153"/>
      <c r="K8" s="167"/>
      <c r="L8" s="146"/>
      <c r="M8" s="153"/>
      <c r="N8" s="168"/>
    </row>
    <row r="9" spans="1:118" ht="31.5" customHeight="1" x14ac:dyDescent="0.15">
      <c r="A9" s="145">
        <v>6</v>
      </c>
      <c r="B9" s="148"/>
      <c r="C9" s="148"/>
      <c r="D9" s="150"/>
      <c r="E9" s="155"/>
      <c r="F9" s="151"/>
      <c r="G9" s="156"/>
      <c r="H9" s="167"/>
      <c r="I9" s="167"/>
      <c r="J9" s="153"/>
      <c r="K9" s="167"/>
      <c r="L9" s="146"/>
      <c r="M9" s="153"/>
      <c r="N9" s="168"/>
    </row>
    <row r="10" spans="1:118" ht="31.5" customHeight="1" x14ac:dyDescent="0.15">
      <c r="A10" s="145">
        <v>7</v>
      </c>
      <c r="B10" s="148"/>
      <c r="C10" s="148"/>
      <c r="D10" s="150"/>
      <c r="E10" s="155"/>
      <c r="F10" s="151"/>
      <c r="G10" s="156"/>
      <c r="H10" s="167"/>
      <c r="I10" s="167"/>
      <c r="J10" s="153"/>
      <c r="K10" s="167"/>
      <c r="L10" s="146"/>
      <c r="M10" s="153"/>
      <c r="N10" s="168"/>
    </row>
    <row r="11" spans="1:118" ht="31.5" customHeight="1" x14ac:dyDescent="0.15">
      <c r="A11" s="145">
        <v>8</v>
      </c>
      <c r="B11" s="148"/>
      <c r="C11" s="148"/>
      <c r="D11" s="150"/>
      <c r="E11" s="155"/>
      <c r="F11" s="151"/>
      <c r="G11" s="156"/>
      <c r="H11" s="167"/>
      <c r="I11" s="167"/>
      <c r="J11" s="153"/>
      <c r="K11" s="167"/>
      <c r="L11" s="146"/>
      <c r="M11" s="153"/>
      <c r="N11" s="168"/>
    </row>
    <row r="12" spans="1:118" ht="31.5" customHeight="1" x14ac:dyDescent="0.15">
      <c r="A12" s="145">
        <v>9</v>
      </c>
      <c r="B12" s="148"/>
      <c r="C12" s="148"/>
      <c r="D12" s="150"/>
      <c r="E12" s="155"/>
      <c r="F12" s="151"/>
      <c r="G12" s="156"/>
      <c r="H12" s="167"/>
      <c r="I12" s="167"/>
      <c r="J12" s="153"/>
      <c r="K12" s="167"/>
      <c r="L12" s="146"/>
      <c r="M12" s="153"/>
      <c r="N12" s="168"/>
    </row>
    <row r="13" spans="1:118" ht="31.5" customHeight="1" x14ac:dyDescent="0.15">
      <c r="A13" s="145">
        <v>10</v>
      </c>
      <c r="B13" s="148"/>
      <c r="C13" s="148"/>
      <c r="D13" s="150"/>
      <c r="E13" s="155"/>
      <c r="F13" s="151"/>
      <c r="G13" s="156"/>
      <c r="H13" s="167"/>
      <c r="I13" s="167"/>
      <c r="J13" s="153"/>
      <c r="K13" s="167"/>
      <c r="L13" s="146"/>
      <c r="M13" s="153"/>
      <c r="N13" s="168"/>
    </row>
    <row r="14" spans="1:118" ht="31.5" customHeight="1" x14ac:dyDescent="0.15">
      <c r="A14" s="145">
        <v>11</v>
      </c>
      <c r="B14" s="148"/>
      <c r="C14" s="148"/>
      <c r="D14" s="150"/>
      <c r="E14" s="155"/>
      <c r="F14" s="151"/>
      <c r="G14" s="156"/>
      <c r="H14" s="167"/>
      <c r="I14" s="167"/>
      <c r="J14" s="153"/>
      <c r="K14" s="167"/>
      <c r="L14" s="146"/>
      <c r="M14" s="153"/>
      <c r="N14" s="168"/>
    </row>
    <row r="15" spans="1:118" ht="31.5" customHeight="1" x14ac:dyDescent="0.15">
      <c r="A15" s="145">
        <v>12</v>
      </c>
      <c r="B15" s="148"/>
      <c r="C15" s="148"/>
      <c r="D15" s="150"/>
      <c r="E15" s="155"/>
      <c r="F15" s="151"/>
      <c r="G15" s="156"/>
      <c r="H15" s="167"/>
      <c r="I15" s="167"/>
      <c r="J15" s="153"/>
      <c r="K15" s="167"/>
      <c r="L15" s="146"/>
      <c r="M15" s="153"/>
      <c r="N15" s="168"/>
    </row>
  </sheetData>
  <mergeCells count="2">
    <mergeCell ref="A2:D2"/>
    <mergeCell ref="A1:N1"/>
  </mergeCells>
  <phoneticPr fontId="2"/>
  <dataValidations count="1">
    <dataValidation type="list" allowBlank="1" showInputMessage="1" showErrorMessage="1" sqref="D4:D15" xr:uid="{29FADD8E-F991-42FE-80F0-081113B19D73}">
      <formula1>"距離制運賃,時間制運賃"</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F739A-0CDB-43FF-9135-AE433CD3C4AE}">
  <sheetPr>
    <tabColor theme="7" tint="0.79998168889431442"/>
  </sheetPr>
  <dimension ref="A1:DN16"/>
  <sheetViews>
    <sheetView tabSelected="1" workbookViewId="0">
      <selection activeCell="I15" sqref="I15"/>
    </sheetView>
  </sheetViews>
  <sheetFormatPr defaultRowHeight="13.5" x14ac:dyDescent="0.15"/>
  <cols>
    <col min="1" max="1" width="17.125" style="144" customWidth="1"/>
    <col min="2" max="3" width="11.625" customWidth="1"/>
    <col min="4" max="6" width="11.25" customWidth="1"/>
    <col min="7" max="7" width="8.25" customWidth="1"/>
    <col min="8" max="10" width="11.25" customWidth="1"/>
    <col min="11" max="11" width="10.375" customWidth="1"/>
    <col min="12" max="12" width="2.125" customWidth="1"/>
    <col min="13" max="13" width="9.75" bestFit="1" customWidth="1"/>
    <col min="14" max="14" width="10" customWidth="1"/>
  </cols>
  <sheetData>
    <row r="1" spans="1:118" s="4" customFormat="1" ht="23.25" customHeight="1" x14ac:dyDescent="0.15">
      <c r="A1" s="189" t="s">
        <v>214</v>
      </c>
      <c r="B1" s="189"/>
      <c r="C1" s="189"/>
      <c r="D1" s="189"/>
      <c r="E1" s="189"/>
      <c r="F1" s="189"/>
      <c r="G1" s="189"/>
      <c r="H1" s="189"/>
      <c r="I1" s="189"/>
      <c r="J1" s="189"/>
      <c r="K1" s="189"/>
      <c r="L1" s="189"/>
      <c r="M1" s="189"/>
      <c r="N1" s="189"/>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row>
    <row r="2" spans="1:118" s="4" customFormat="1" ht="15" customHeight="1" x14ac:dyDescent="0.15">
      <c r="A2" s="192"/>
      <c r="B2" s="192"/>
      <c r="C2" s="192"/>
      <c r="D2" s="192"/>
      <c r="E2" s="3"/>
      <c r="F2" s="3"/>
      <c r="G2" s="3"/>
      <c r="H2" s="3"/>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row>
    <row r="3" spans="1:118" ht="35.25" customHeight="1" x14ac:dyDescent="0.15">
      <c r="A3" s="145" t="s">
        <v>213</v>
      </c>
      <c r="B3" s="147" t="s">
        <v>206</v>
      </c>
      <c r="C3" s="147" t="s">
        <v>207</v>
      </c>
      <c r="D3" s="149" t="s">
        <v>202</v>
      </c>
      <c r="E3" s="154" t="s">
        <v>200</v>
      </c>
      <c r="F3" s="149" t="s">
        <v>191</v>
      </c>
      <c r="G3" s="154" t="s">
        <v>201</v>
      </c>
      <c r="H3" s="152" t="s">
        <v>209</v>
      </c>
      <c r="I3" s="157" t="s">
        <v>210</v>
      </c>
      <c r="J3" s="152" t="s">
        <v>211</v>
      </c>
      <c r="K3" s="154" t="s">
        <v>204</v>
      </c>
      <c r="L3" s="146"/>
      <c r="M3" s="152" t="s">
        <v>212</v>
      </c>
      <c r="N3" s="154" t="s">
        <v>205</v>
      </c>
    </row>
    <row r="4" spans="1:118" ht="31.5" customHeight="1" x14ac:dyDescent="0.15">
      <c r="A4" s="145"/>
      <c r="B4" s="148"/>
      <c r="C4" s="148"/>
      <c r="D4" s="150"/>
      <c r="E4" s="155"/>
      <c r="F4" s="151"/>
      <c r="G4" s="156"/>
      <c r="H4" s="167"/>
      <c r="I4" s="167"/>
      <c r="J4" s="153"/>
      <c r="K4" s="167"/>
      <c r="L4" s="146"/>
      <c r="M4" s="153"/>
      <c r="N4" s="168"/>
    </row>
    <row r="5" spans="1:118" ht="31.5" customHeight="1" x14ac:dyDescent="0.15">
      <c r="A5" s="145"/>
      <c r="B5" s="148"/>
      <c r="C5" s="148"/>
      <c r="D5" s="150"/>
      <c r="E5" s="155"/>
      <c r="F5" s="151"/>
      <c r="G5" s="156"/>
      <c r="H5" s="167"/>
      <c r="I5" s="167"/>
      <c r="J5" s="153"/>
      <c r="K5" s="167"/>
      <c r="L5" s="146"/>
      <c r="M5" s="153"/>
      <c r="N5" s="168"/>
    </row>
    <row r="6" spans="1:118" ht="31.5" customHeight="1" x14ac:dyDescent="0.15">
      <c r="A6" s="145"/>
      <c r="B6" s="148"/>
      <c r="C6" s="148"/>
      <c r="D6" s="150"/>
      <c r="E6" s="155"/>
      <c r="F6" s="151"/>
      <c r="G6" s="156"/>
      <c r="H6" s="167"/>
      <c r="I6" s="167"/>
      <c r="J6" s="153"/>
      <c r="K6" s="167"/>
      <c r="L6" s="146"/>
      <c r="M6" s="153"/>
      <c r="N6" s="168"/>
    </row>
    <row r="7" spans="1:118" ht="31.5" customHeight="1" x14ac:dyDescent="0.15">
      <c r="A7" s="145"/>
      <c r="B7" s="148"/>
      <c r="C7" s="148"/>
      <c r="D7" s="150"/>
      <c r="E7" s="155"/>
      <c r="F7" s="151"/>
      <c r="G7" s="156"/>
      <c r="H7" s="167"/>
      <c r="I7" s="167"/>
      <c r="J7" s="153"/>
      <c r="K7" s="167"/>
      <c r="L7" s="146"/>
      <c r="M7" s="153"/>
      <c r="N7" s="168"/>
    </row>
    <row r="8" spans="1:118" ht="31.5" customHeight="1" x14ac:dyDescent="0.15">
      <c r="A8" s="145"/>
      <c r="B8" s="148"/>
      <c r="C8" s="148"/>
      <c r="D8" s="150"/>
      <c r="E8" s="155"/>
      <c r="F8" s="151"/>
      <c r="G8" s="156"/>
      <c r="H8" s="167"/>
      <c r="I8" s="167"/>
      <c r="J8" s="153"/>
      <c r="K8" s="167"/>
      <c r="L8" s="146"/>
      <c r="M8" s="153"/>
      <c r="N8" s="168"/>
    </row>
    <row r="9" spans="1:118" ht="31.5" customHeight="1" x14ac:dyDescent="0.15">
      <c r="A9" s="145"/>
      <c r="B9" s="148"/>
      <c r="C9" s="148"/>
      <c r="D9" s="150"/>
      <c r="E9" s="155"/>
      <c r="F9" s="151"/>
      <c r="G9" s="156"/>
      <c r="H9" s="167"/>
      <c r="I9" s="167"/>
      <c r="J9" s="153"/>
      <c r="K9" s="167"/>
      <c r="L9" s="146"/>
      <c r="M9" s="153"/>
      <c r="N9" s="168"/>
    </row>
    <row r="10" spans="1:118" ht="31.5" customHeight="1" x14ac:dyDescent="0.15">
      <c r="A10" s="145"/>
      <c r="B10" s="148"/>
      <c r="C10" s="148"/>
      <c r="D10" s="150"/>
      <c r="E10" s="155"/>
      <c r="F10" s="151"/>
      <c r="G10" s="156"/>
      <c r="H10" s="167"/>
      <c r="I10" s="167"/>
      <c r="J10" s="153"/>
      <c r="K10" s="167"/>
      <c r="L10" s="146"/>
      <c r="M10" s="153"/>
      <c r="N10" s="168"/>
    </row>
    <row r="11" spans="1:118" ht="31.5" customHeight="1" x14ac:dyDescent="0.15">
      <c r="A11" s="145"/>
      <c r="B11" s="148"/>
      <c r="C11" s="148"/>
      <c r="D11" s="150"/>
      <c r="E11" s="155"/>
      <c r="F11" s="151"/>
      <c r="G11" s="156"/>
      <c r="H11" s="167"/>
      <c r="I11" s="167"/>
      <c r="J11" s="153"/>
      <c r="K11" s="167"/>
      <c r="L11" s="146"/>
      <c r="M11" s="153"/>
      <c r="N11" s="168"/>
    </row>
    <row r="12" spans="1:118" ht="31.5" customHeight="1" x14ac:dyDescent="0.15">
      <c r="A12" s="145"/>
      <c r="B12" s="148"/>
      <c r="C12" s="148"/>
      <c r="D12" s="150"/>
      <c r="E12" s="155"/>
      <c r="F12" s="151"/>
      <c r="G12" s="156"/>
      <c r="H12" s="167"/>
      <c r="I12" s="167"/>
      <c r="J12" s="153"/>
      <c r="K12" s="167"/>
      <c r="L12" s="146"/>
      <c r="M12" s="153"/>
      <c r="N12" s="168"/>
    </row>
    <row r="13" spans="1:118" ht="31.5" customHeight="1" x14ac:dyDescent="0.15">
      <c r="A13" s="145"/>
      <c r="B13" s="148"/>
      <c r="C13" s="148"/>
      <c r="D13" s="150"/>
      <c r="E13" s="155"/>
      <c r="F13" s="151"/>
      <c r="G13" s="156"/>
      <c r="H13" s="167"/>
      <c r="I13" s="167"/>
      <c r="J13" s="153"/>
      <c r="K13" s="167"/>
      <c r="L13" s="146"/>
      <c r="M13" s="153"/>
      <c r="N13" s="168"/>
    </row>
    <row r="14" spans="1:118" ht="31.5" customHeight="1" x14ac:dyDescent="0.15">
      <c r="A14" s="145"/>
      <c r="B14" s="148"/>
      <c r="C14" s="148"/>
      <c r="D14" s="150"/>
      <c r="E14" s="155"/>
      <c r="F14" s="151"/>
      <c r="G14" s="156"/>
      <c r="H14" s="167"/>
      <c r="I14" s="167"/>
      <c r="J14" s="153"/>
      <c r="K14" s="167"/>
      <c r="L14" s="146"/>
      <c r="M14" s="153"/>
      <c r="N14" s="168"/>
    </row>
    <row r="15" spans="1:118" ht="31.5" customHeight="1" x14ac:dyDescent="0.15">
      <c r="A15" s="145"/>
      <c r="B15" s="148"/>
      <c r="C15" s="148"/>
      <c r="D15" s="150"/>
      <c r="E15" s="155"/>
      <c r="F15" s="151"/>
      <c r="G15" s="156"/>
      <c r="H15" s="167"/>
      <c r="I15" s="167"/>
      <c r="J15" s="153"/>
      <c r="K15" s="167"/>
      <c r="L15" s="146"/>
      <c r="M15" s="153"/>
      <c r="N15" s="168"/>
    </row>
    <row r="16" spans="1:118" ht="31.5" customHeight="1" x14ac:dyDescent="0.15">
      <c r="J16" s="169">
        <f>SUM(J4:J15)</f>
        <v>0</v>
      </c>
      <c r="K16" s="169">
        <f>SUM(K4:K15)</f>
        <v>0</v>
      </c>
      <c r="L16" s="146"/>
      <c r="M16" s="169">
        <f t="shared" ref="M16:N16" si="0">SUM(M4:M15)</f>
        <v>0</v>
      </c>
      <c r="N16" s="169">
        <f t="shared" si="0"/>
        <v>0</v>
      </c>
    </row>
  </sheetData>
  <mergeCells count="2">
    <mergeCell ref="A1:N1"/>
    <mergeCell ref="A2:D2"/>
  </mergeCells>
  <phoneticPr fontId="2"/>
  <dataValidations count="1">
    <dataValidation type="list" allowBlank="1" showInputMessage="1" showErrorMessage="1" sqref="D4:D15" xr:uid="{E937210A-A7DC-436F-B1F1-1FEB61232BF5}">
      <formula1>"距離制運賃,時間制運賃"</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条件</vt:lpstr>
      <vt:lpstr>車両別原価計算</vt:lpstr>
      <vt:lpstr>運行ルート別原価計算</vt:lpstr>
      <vt:lpstr>取引先別原価計算</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日本PMI コンサルティング(株)</dc:creator>
  <cp:lastModifiedBy>日本PMIコンサルティング株式会社 小坂</cp:lastModifiedBy>
  <cp:lastPrinted>2017-08-04T04:20:33Z</cp:lastPrinted>
  <dcterms:created xsi:type="dcterms:W3CDTF">2012-09-12T12:19:42Z</dcterms:created>
  <dcterms:modified xsi:type="dcterms:W3CDTF">2025-03-13T11:12:38Z</dcterms:modified>
</cp:coreProperties>
</file>